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5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31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alcChain.xml" ContentType="application/vnd.openxmlformats-officedocument.spreadsheetml.calcChain+xml"/>
  <Override PartName="/xl/ctrlProps/ctrlProp26.xml" ContentType="application/vnd.ms-excel.control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trlProps/ctrlProp25.xml" ContentType="application/vnd.ms-excel.control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Y:\05 - Statistik\1.Daten\01 BEVOELKERUNG\Bevölkerung - Strukturerhebung\2024\"/>
    </mc:Choice>
  </mc:AlternateContent>
  <xr:revisionPtr revIDLastSave="0" documentId="13_ncr:1_{84772BD8-1457-40CC-AE76-FBDE0E0C2A8C}" xr6:coauthVersionLast="47" xr6:coauthVersionMax="47" xr10:uidLastSave="{00000000-0000-0000-0000-000000000000}"/>
  <workbookProtection lockStructure="1"/>
  <bookViews>
    <workbookView xWindow="-105" yWindow="0" windowWidth="26010" windowHeight="20985" xr2:uid="{00000000-000D-0000-FFFF-FFFF00000000}"/>
  </bookViews>
  <sheets>
    <sheet name="2024" sheetId="33" r:id="rId1"/>
    <sheet name="2023" sheetId="32" r:id="rId2"/>
    <sheet name="2022" sheetId="31" r:id="rId3"/>
    <sheet name="2021" sheetId="12" r:id="rId4"/>
    <sheet name="2020" sheetId="14" r:id="rId5"/>
    <sheet name="2019" sheetId="21" r:id="rId6"/>
    <sheet name="2018" sheetId="23" r:id="rId7"/>
    <sheet name="2017" sheetId="22" r:id="rId8"/>
    <sheet name="2016" sheetId="26" r:id="rId9"/>
    <sheet name="2015" sheetId="25" r:id="rId10"/>
    <sheet name="2014" sheetId="24" r:id="rId11"/>
    <sheet name="2013" sheetId="30" r:id="rId12"/>
    <sheet name="2012" sheetId="29" r:id="rId13"/>
    <sheet name="2011" sheetId="28" r:id="rId14"/>
    <sheet name="2010" sheetId="27" r:id="rId15"/>
    <sheet name="Uebersetzungen" sheetId="13" state="hidden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" i="33" l="1"/>
  <c r="A55" i="33"/>
  <c r="A53" i="33"/>
  <c r="A52" i="33"/>
  <c r="A51" i="33"/>
  <c r="A50" i="33"/>
  <c r="A49" i="33"/>
  <c r="A48" i="33"/>
  <c r="A46" i="33"/>
  <c r="A45" i="33"/>
  <c r="A44" i="33"/>
  <c r="A43" i="33"/>
  <c r="A42" i="33"/>
  <c r="A41" i="33"/>
  <c r="A40" i="33"/>
  <c r="A39" i="33"/>
  <c r="A38" i="33"/>
  <c r="A37" i="33"/>
  <c r="A36" i="33"/>
  <c r="A35" i="33"/>
  <c r="A34" i="33"/>
  <c r="A33" i="33"/>
  <c r="A32" i="33"/>
  <c r="A31" i="33"/>
  <c r="A30" i="33"/>
  <c r="A29" i="33"/>
  <c r="A28" i="33"/>
  <c r="A27" i="33"/>
  <c r="A26" i="33"/>
  <c r="A25" i="33"/>
  <c r="A24" i="33"/>
  <c r="A23" i="33"/>
  <c r="A22" i="33"/>
  <c r="A21" i="33"/>
  <c r="A20" i="33"/>
  <c r="A19" i="33"/>
  <c r="A18" i="33"/>
  <c r="A17" i="33"/>
  <c r="A16" i="33"/>
  <c r="A15" i="33"/>
  <c r="R14" i="33"/>
  <c r="Q14" i="33"/>
  <c r="P14" i="33"/>
  <c r="O14" i="33"/>
  <c r="N14" i="33"/>
  <c r="M14" i="33"/>
  <c r="L14" i="33"/>
  <c r="K14" i="33"/>
  <c r="J14" i="33"/>
  <c r="I14" i="33"/>
  <c r="H14" i="33"/>
  <c r="G14" i="33"/>
  <c r="F14" i="33"/>
  <c r="E14" i="33"/>
  <c r="D14" i="33"/>
  <c r="C14" i="33"/>
  <c r="Q13" i="33"/>
  <c r="O13" i="33"/>
  <c r="M13" i="33"/>
  <c r="K13" i="33"/>
  <c r="I13" i="33"/>
  <c r="G13" i="33"/>
  <c r="E13" i="33"/>
  <c r="C13" i="33"/>
  <c r="B13" i="33"/>
  <c r="A10" i="33"/>
  <c r="A9" i="33"/>
  <c r="A7" i="33"/>
  <c r="A53" i="27"/>
  <c r="A53" i="28"/>
  <c r="A53" i="29"/>
  <c r="A53" i="30"/>
  <c r="A53" i="24"/>
  <c r="A53" i="25"/>
  <c r="A53" i="26"/>
  <c r="A53" i="22"/>
  <c r="A53" i="23"/>
  <c r="A53" i="21"/>
  <c r="A53" i="14"/>
  <c r="A53" i="12"/>
  <c r="A53" i="31"/>
  <c r="A53" i="32"/>
  <c r="A56" i="32" l="1"/>
  <c r="A55" i="32"/>
  <c r="A52" i="32"/>
  <c r="A51" i="32"/>
  <c r="A50" i="32"/>
  <c r="A49" i="32"/>
  <c r="A48" i="32"/>
  <c r="A46" i="32"/>
  <c r="A45" i="32"/>
  <c r="A44" i="32"/>
  <c r="A43" i="32"/>
  <c r="A42" i="32"/>
  <c r="A41" i="32"/>
  <c r="A40" i="32"/>
  <c r="A39" i="32"/>
  <c r="A38" i="32"/>
  <c r="A37" i="32"/>
  <c r="A36" i="32"/>
  <c r="A35" i="32"/>
  <c r="A34" i="32"/>
  <c r="A33" i="32"/>
  <c r="A32" i="32"/>
  <c r="A31" i="32"/>
  <c r="A30" i="32"/>
  <c r="A29" i="32"/>
  <c r="A28" i="32"/>
  <c r="A27" i="32"/>
  <c r="A26" i="32"/>
  <c r="A25" i="32"/>
  <c r="A24" i="32"/>
  <c r="A23" i="32"/>
  <c r="A22" i="32"/>
  <c r="A21" i="32"/>
  <c r="A20" i="32"/>
  <c r="A19" i="32"/>
  <c r="A18" i="32"/>
  <c r="A17" i="32"/>
  <c r="A16" i="32"/>
  <c r="A15" i="32"/>
  <c r="R14" i="32"/>
  <c r="Q14" i="32"/>
  <c r="P14" i="32"/>
  <c r="O14" i="32"/>
  <c r="N14" i="32"/>
  <c r="M14" i="32"/>
  <c r="L14" i="32"/>
  <c r="K14" i="32"/>
  <c r="J14" i="32"/>
  <c r="I14" i="32"/>
  <c r="H14" i="32"/>
  <c r="G14" i="32"/>
  <c r="F14" i="32"/>
  <c r="E14" i="32"/>
  <c r="D14" i="32"/>
  <c r="C14" i="32"/>
  <c r="Q13" i="32"/>
  <c r="O13" i="32"/>
  <c r="M13" i="32"/>
  <c r="K13" i="32"/>
  <c r="I13" i="32"/>
  <c r="G13" i="32"/>
  <c r="E13" i="32"/>
  <c r="C13" i="32"/>
  <c r="B13" i="32"/>
  <c r="A10" i="32"/>
  <c r="A9" i="32"/>
  <c r="A7" i="32"/>
  <c r="A56" i="27" l="1"/>
  <c r="A56" i="28"/>
  <c r="A56" i="29"/>
  <c r="A56" i="30"/>
  <c r="A56" i="24"/>
  <c r="A56" i="25"/>
  <c r="A56" i="26"/>
  <c r="A56" i="22"/>
  <c r="A56" i="23"/>
  <c r="A56" i="21"/>
  <c r="A56" i="14"/>
  <c r="A56" i="12"/>
  <c r="A56" i="31"/>
  <c r="A55" i="31" l="1"/>
  <c r="A52" i="31"/>
  <c r="A51" i="31"/>
  <c r="A50" i="31"/>
  <c r="A49" i="31"/>
  <c r="A48" i="31"/>
  <c r="A46" i="31"/>
  <c r="A45" i="31"/>
  <c r="A44" i="31"/>
  <c r="A43" i="31"/>
  <c r="A42" i="31"/>
  <c r="A41" i="31"/>
  <c r="A40" i="31"/>
  <c r="A39" i="31"/>
  <c r="A38" i="31"/>
  <c r="A37" i="31"/>
  <c r="A36" i="31"/>
  <c r="A35" i="31"/>
  <c r="A34" i="31"/>
  <c r="A33" i="31"/>
  <c r="A32" i="31"/>
  <c r="A31" i="31"/>
  <c r="A30" i="31"/>
  <c r="A29" i="31"/>
  <c r="A28" i="31"/>
  <c r="A27" i="31"/>
  <c r="A26" i="31"/>
  <c r="A25" i="31"/>
  <c r="A24" i="31"/>
  <c r="A23" i="31"/>
  <c r="A22" i="31"/>
  <c r="A21" i="31"/>
  <c r="A20" i="31"/>
  <c r="A19" i="31"/>
  <c r="A18" i="31"/>
  <c r="A17" i="31"/>
  <c r="A16" i="31"/>
  <c r="A15" i="31"/>
  <c r="R14" i="31"/>
  <c r="Q14" i="31"/>
  <c r="P14" i="31"/>
  <c r="O14" i="31"/>
  <c r="N14" i="31"/>
  <c r="M14" i="31"/>
  <c r="L14" i="31"/>
  <c r="K14" i="31"/>
  <c r="J14" i="31"/>
  <c r="I14" i="31"/>
  <c r="H14" i="31"/>
  <c r="G14" i="31"/>
  <c r="F14" i="31"/>
  <c r="E14" i="31"/>
  <c r="D14" i="31"/>
  <c r="C14" i="31"/>
  <c r="Q13" i="31"/>
  <c r="O13" i="31"/>
  <c r="M13" i="31"/>
  <c r="K13" i="31"/>
  <c r="I13" i="31"/>
  <c r="G13" i="31"/>
  <c r="E13" i="31"/>
  <c r="C13" i="31"/>
  <c r="B13" i="31"/>
  <c r="A10" i="31"/>
  <c r="A9" i="31"/>
  <c r="A7" i="31"/>
  <c r="A55" i="30" l="1"/>
  <c r="A52" i="30"/>
  <c r="A51" i="30"/>
  <c r="A50" i="30"/>
  <c r="A49" i="30"/>
  <c r="A48" i="30"/>
  <c r="A46" i="30"/>
  <c r="A45" i="30"/>
  <c r="A44" i="30"/>
  <c r="A43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R14" i="30"/>
  <c r="Q14" i="30"/>
  <c r="P14" i="30"/>
  <c r="O14" i="30"/>
  <c r="N14" i="30"/>
  <c r="M14" i="30"/>
  <c r="L14" i="30"/>
  <c r="K14" i="30"/>
  <c r="J14" i="30"/>
  <c r="I14" i="30"/>
  <c r="H14" i="30"/>
  <c r="G14" i="30"/>
  <c r="F14" i="30"/>
  <c r="E14" i="30"/>
  <c r="D14" i="30"/>
  <c r="C14" i="30"/>
  <c r="Q13" i="30"/>
  <c r="O13" i="30"/>
  <c r="M13" i="30"/>
  <c r="K13" i="30"/>
  <c r="I13" i="30"/>
  <c r="G13" i="30"/>
  <c r="E13" i="30"/>
  <c r="C13" i="30"/>
  <c r="B13" i="30"/>
  <c r="A10" i="30"/>
  <c r="A9" i="30"/>
  <c r="A7" i="30"/>
  <c r="A55" i="29"/>
  <c r="A52" i="29"/>
  <c r="A51" i="29"/>
  <c r="A50" i="29"/>
  <c r="A49" i="29"/>
  <c r="A48" i="29"/>
  <c r="A46" i="29"/>
  <c r="A45" i="29"/>
  <c r="A44" i="29"/>
  <c r="A43" i="29"/>
  <c r="A42" i="29"/>
  <c r="A41" i="29"/>
  <c r="A40" i="29"/>
  <c r="A39" i="29"/>
  <c r="A38" i="29"/>
  <c r="A37" i="29"/>
  <c r="A36" i="29"/>
  <c r="A35" i="29"/>
  <c r="A34" i="29"/>
  <c r="A33" i="29"/>
  <c r="A32" i="29"/>
  <c r="A31" i="29"/>
  <c r="A30" i="29"/>
  <c r="A29" i="29"/>
  <c r="A28" i="29"/>
  <c r="A27" i="29"/>
  <c r="A26" i="29"/>
  <c r="A25" i="29"/>
  <c r="A24" i="29"/>
  <c r="A23" i="29"/>
  <c r="A22" i="29"/>
  <c r="A21" i="29"/>
  <c r="A20" i="29"/>
  <c r="A19" i="29"/>
  <c r="A18" i="29"/>
  <c r="A17" i="29"/>
  <c r="A16" i="29"/>
  <c r="A15" i="29"/>
  <c r="R14" i="29"/>
  <c r="Q14" i="29"/>
  <c r="P14" i="29"/>
  <c r="O14" i="29"/>
  <c r="N14" i="29"/>
  <c r="M14" i="29"/>
  <c r="L14" i="29"/>
  <c r="K14" i="29"/>
  <c r="J14" i="29"/>
  <c r="I14" i="29"/>
  <c r="H14" i="29"/>
  <c r="G14" i="29"/>
  <c r="F14" i="29"/>
  <c r="E14" i="29"/>
  <c r="D14" i="29"/>
  <c r="C14" i="29"/>
  <c r="Q13" i="29"/>
  <c r="O13" i="29"/>
  <c r="M13" i="29"/>
  <c r="K13" i="29"/>
  <c r="I13" i="29"/>
  <c r="G13" i="29"/>
  <c r="E13" i="29"/>
  <c r="C13" i="29"/>
  <c r="B13" i="29"/>
  <c r="A10" i="29"/>
  <c r="A9" i="29"/>
  <c r="A7" i="29"/>
  <c r="A55" i="28"/>
  <c r="A52" i="28"/>
  <c r="A51" i="28"/>
  <c r="A50" i="28"/>
  <c r="A49" i="28"/>
  <c r="A48" i="28"/>
  <c r="A46" i="28"/>
  <c r="A45" i="28"/>
  <c r="A44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R14" i="28"/>
  <c r="Q14" i="28"/>
  <c r="P14" i="28"/>
  <c r="O14" i="28"/>
  <c r="N14" i="28"/>
  <c r="M14" i="28"/>
  <c r="L14" i="28"/>
  <c r="K14" i="28"/>
  <c r="J14" i="28"/>
  <c r="I14" i="28"/>
  <c r="H14" i="28"/>
  <c r="G14" i="28"/>
  <c r="F14" i="28"/>
  <c r="E14" i="28"/>
  <c r="D14" i="28"/>
  <c r="C14" i="28"/>
  <c r="Q13" i="28"/>
  <c r="O13" i="28"/>
  <c r="M13" i="28"/>
  <c r="K13" i="28"/>
  <c r="I13" i="28"/>
  <c r="G13" i="28"/>
  <c r="E13" i="28"/>
  <c r="C13" i="28"/>
  <c r="B13" i="28"/>
  <c r="A10" i="28"/>
  <c r="A9" i="28"/>
  <c r="A7" i="28"/>
  <c r="A55" i="27"/>
  <c r="A52" i="27"/>
  <c r="A51" i="27"/>
  <c r="A50" i="27"/>
  <c r="A49" i="27"/>
  <c r="A48" i="27"/>
  <c r="A46" i="27"/>
  <c r="A45" i="27"/>
  <c r="A44" i="27"/>
  <c r="A43" i="27"/>
  <c r="A42" i="27"/>
  <c r="A41" i="27"/>
  <c r="A40" i="27"/>
  <c r="A39" i="27"/>
  <c r="A38" i="27"/>
  <c r="A37" i="27"/>
  <c r="A36" i="27"/>
  <c r="A35" i="27"/>
  <c r="A34" i="27"/>
  <c r="A33" i="27"/>
  <c r="A32" i="27"/>
  <c r="A31" i="27"/>
  <c r="A30" i="27"/>
  <c r="A29" i="27"/>
  <c r="A28" i="27"/>
  <c r="A27" i="27"/>
  <c r="A26" i="27"/>
  <c r="A25" i="27"/>
  <c r="A24" i="27"/>
  <c r="A23" i="27"/>
  <c r="A22" i="27"/>
  <c r="A21" i="27"/>
  <c r="A20" i="27"/>
  <c r="A19" i="27"/>
  <c r="A18" i="27"/>
  <c r="A17" i="27"/>
  <c r="A16" i="27"/>
  <c r="A15" i="27"/>
  <c r="R14" i="27"/>
  <c r="Q14" i="27"/>
  <c r="P14" i="27"/>
  <c r="O14" i="27"/>
  <c r="N14" i="27"/>
  <c r="M14" i="27"/>
  <c r="L14" i="27"/>
  <c r="K14" i="27"/>
  <c r="J14" i="27"/>
  <c r="I14" i="27"/>
  <c r="H14" i="27"/>
  <c r="G14" i="27"/>
  <c r="F14" i="27"/>
  <c r="E14" i="27"/>
  <c r="D14" i="27"/>
  <c r="C14" i="27"/>
  <c r="Q13" i="27"/>
  <c r="O13" i="27"/>
  <c r="M13" i="27"/>
  <c r="K13" i="27"/>
  <c r="I13" i="27"/>
  <c r="G13" i="27"/>
  <c r="E13" i="27"/>
  <c r="C13" i="27"/>
  <c r="B13" i="27"/>
  <c r="A10" i="27"/>
  <c r="A9" i="27"/>
  <c r="A7" i="27"/>
  <c r="A55" i="26"/>
  <c r="A52" i="26"/>
  <c r="A51" i="26"/>
  <c r="A50" i="26"/>
  <c r="A49" i="26"/>
  <c r="A48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R14" i="26"/>
  <c r="Q14" i="26"/>
  <c r="P14" i="26"/>
  <c r="O14" i="26"/>
  <c r="N14" i="26"/>
  <c r="M14" i="26"/>
  <c r="L14" i="26"/>
  <c r="K14" i="26"/>
  <c r="J14" i="26"/>
  <c r="I14" i="26"/>
  <c r="H14" i="26"/>
  <c r="G14" i="26"/>
  <c r="F14" i="26"/>
  <c r="E14" i="26"/>
  <c r="D14" i="26"/>
  <c r="C14" i="26"/>
  <c r="Q13" i="26"/>
  <c r="O13" i="26"/>
  <c r="M13" i="26"/>
  <c r="K13" i="26"/>
  <c r="I13" i="26"/>
  <c r="G13" i="26"/>
  <c r="E13" i="26"/>
  <c r="C13" i="26"/>
  <c r="B13" i="26"/>
  <c r="A10" i="26"/>
  <c r="A9" i="26"/>
  <c r="A7" i="26"/>
  <c r="A55" i="25"/>
  <c r="A52" i="25"/>
  <c r="A51" i="25"/>
  <c r="A50" i="25"/>
  <c r="A49" i="25"/>
  <c r="A48" i="25"/>
  <c r="A46" i="25"/>
  <c r="A45" i="25"/>
  <c r="A44" i="25"/>
  <c r="A43" i="25"/>
  <c r="A42" i="25"/>
  <c r="A41" i="25"/>
  <c r="A40" i="25"/>
  <c r="A39" i="25"/>
  <c r="A38" i="25"/>
  <c r="A37" i="25"/>
  <c r="A36" i="25"/>
  <c r="A35" i="25"/>
  <c r="A34" i="25"/>
  <c r="A33" i="25"/>
  <c r="A32" i="25"/>
  <c r="A31" i="25"/>
  <c r="A30" i="25"/>
  <c r="A29" i="25"/>
  <c r="A28" i="25"/>
  <c r="A27" i="25"/>
  <c r="A26" i="25"/>
  <c r="A25" i="25"/>
  <c r="A24" i="25"/>
  <c r="A23" i="25"/>
  <c r="A22" i="25"/>
  <c r="A21" i="25"/>
  <c r="A20" i="25"/>
  <c r="A19" i="25"/>
  <c r="A18" i="25"/>
  <c r="A17" i="25"/>
  <c r="A16" i="25"/>
  <c r="A15" i="25"/>
  <c r="R14" i="25"/>
  <c r="Q14" i="25"/>
  <c r="P14" i="25"/>
  <c r="O14" i="25"/>
  <c r="N14" i="25"/>
  <c r="M14" i="25"/>
  <c r="L14" i="25"/>
  <c r="K14" i="25"/>
  <c r="J14" i="25"/>
  <c r="I14" i="25"/>
  <c r="H14" i="25"/>
  <c r="G14" i="25"/>
  <c r="F14" i="25"/>
  <c r="E14" i="25"/>
  <c r="D14" i="25"/>
  <c r="C14" i="25"/>
  <c r="Q13" i="25"/>
  <c r="O13" i="25"/>
  <c r="M13" i="25"/>
  <c r="K13" i="25"/>
  <c r="I13" i="25"/>
  <c r="G13" i="25"/>
  <c r="E13" i="25"/>
  <c r="C13" i="25"/>
  <c r="B13" i="25"/>
  <c r="A10" i="25"/>
  <c r="A9" i="25"/>
  <c r="A7" i="25"/>
  <c r="A55" i="24"/>
  <c r="A52" i="24"/>
  <c r="A51" i="24"/>
  <c r="A50" i="24"/>
  <c r="A49" i="24"/>
  <c r="A48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6" i="24"/>
  <c r="A15" i="24"/>
  <c r="R14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Q13" i="24"/>
  <c r="O13" i="24"/>
  <c r="M13" i="24"/>
  <c r="K13" i="24"/>
  <c r="I13" i="24"/>
  <c r="G13" i="24"/>
  <c r="E13" i="24"/>
  <c r="C13" i="24"/>
  <c r="B13" i="24"/>
  <c r="A10" i="24"/>
  <c r="A9" i="24"/>
  <c r="A7" i="24"/>
  <c r="A55" i="23"/>
  <c r="A52" i="23"/>
  <c r="A51" i="23"/>
  <c r="A50" i="23"/>
  <c r="A49" i="23"/>
  <c r="A48" i="23"/>
  <c r="A46" i="23"/>
  <c r="A45" i="23"/>
  <c r="A44" i="23"/>
  <c r="A43" i="23"/>
  <c r="A42" i="23"/>
  <c r="A41" i="23"/>
  <c r="A40" i="23"/>
  <c r="A39" i="23"/>
  <c r="A38" i="23"/>
  <c r="A37" i="23"/>
  <c r="A36" i="23"/>
  <c r="A35" i="23"/>
  <c r="A34" i="23"/>
  <c r="A33" i="23"/>
  <c r="A32" i="23"/>
  <c r="A31" i="23"/>
  <c r="A30" i="23"/>
  <c r="A29" i="23"/>
  <c r="A28" i="23"/>
  <c r="A27" i="23"/>
  <c r="A26" i="23"/>
  <c r="A25" i="23"/>
  <c r="A24" i="23"/>
  <c r="A23" i="23"/>
  <c r="A22" i="23"/>
  <c r="A21" i="23"/>
  <c r="A20" i="23"/>
  <c r="A19" i="23"/>
  <c r="A18" i="23"/>
  <c r="A17" i="23"/>
  <c r="A16" i="23"/>
  <c r="A15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D14" i="23"/>
  <c r="C14" i="23"/>
  <c r="Q13" i="23"/>
  <c r="O13" i="23"/>
  <c r="M13" i="23"/>
  <c r="K13" i="23"/>
  <c r="I13" i="23"/>
  <c r="G13" i="23"/>
  <c r="E13" i="23"/>
  <c r="C13" i="23"/>
  <c r="B13" i="23"/>
  <c r="A10" i="23"/>
  <c r="A9" i="23"/>
  <c r="A7" i="23"/>
  <c r="A55" i="22"/>
  <c r="A52" i="22"/>
  <c r="A51" i="22"/>
  <c r="A50" i="22"/>
  <c r="A49" i="22"/>
  <c r="A48" i="22"/>
  <c r="A46" i="22"/>
  <c r="A45" i="22"/>
  <c r="A44" i="22"/>
  <c r="A43" i="22"/>
  <c r="A42" i="22"/>
  <c r="A41" i="22"/>
  <c r="A40" i="22"/>
  <c r="A39" i="22"/>
  <c r="A38" i="22"/>
  <c r="A37" i="22"/>
  <c r="A36" i="22"/>
  <c r="A35" i="22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Q13" i="22"/>
  <c r="O13" i="22"/>
  <c r="M13" i="22"/>
  <c r="K13" i="22"/>
  <c r="I13" i="22"/>
  <c r="G13" i="22"/>
  <c r="E13" i="22"/>
  <c r="C13" i="22"/>
  <c r="B13" i="22"/>
  <c r="A10" i="22"/>
  <c r="A9" i="22"/>
  <c r="A7" i="22"/>
  <c r="A55" i="21"/>
  <c r="A52" i="21"/>
  <c r="A51" i="21"/>
  <c r="A50" i="21"/>
  <c r="A49" i="21"/>
  <c r="A48" i="21"/>
  <c r="A46" i="21"/>
  <c r="A45" i="21"/>
  <c r="A44" i="21"/>
  <c r="A43" i="21"/>
  <c r="A42" i="21"/>
  <c r="A41" i="21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Q13" i="21"/>
  <c r="O13" i="21"/>
  <c r="M13" i="21"/>
  <c r="K13" i="21"/>
  <c r="I13" i="21"/>
  <c r="G13" i="21"/>
  <c r="E13" i="21"/>
  <c r="C13" i="21"/>
  <c r="B13" i="21"/>
  <c r="A10" i="21"/>
  <c r="A9" i="21"/>
  <c r="A7" i="21"/>
  <c r="A55" i="14"/>
  <c r="A52" i="14"/>
  <c r="A51" i="14"/>
  <c r="A50" i="14"/>
  <c r="A49" i="14"/>
  <c r="A48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Q13" i="14"/>
  <c r="O13" i="14"/>
  <c r="M13" i="14"/>
  <c r="K13" i="14"/>
  <c r="I13" i="14"/>
  <c r="G13" i="14"/>
  <c r="E13" i="14"/>
  <c r="C13" i="14"/>
  <c r="B13" i="14"/>
  <c r="A10" i="14"/>
  <c r="A9" i="14"/>
  <c r="A7" i="14"/>
  <c r="A15" i="12"/>
  <c r="A55" i="12"/>
  <c r="A48" i="12"/>
  <c r="C13" i="12"/>
  <c r="C14" i="12"/>
  <c r="B13" i="12"/>
  <c r="A10" i="12"/>
  <c r="A9" i="12"/>
  <c r="A7" i="12"/>
  <c r="A52" i="12" l="1"/>
  <c r="A51" i="12"/>
  <c r="D14" i="12" l="1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Q13" i="12"/>
  <c r="O13" i="12"/>
  <c r="M13" i="12"/>
  <c r="K13" i="12"/>
  <c r="I13" i="12"/>
  <c r="G13" i="12"/>
  <c r="E13" i="12"/>
  <c r="A16" i="12"/>
  <c r="A50" i="12"/>
  <c r="A49" i="12"/>
  <c r="A41" i="12"/>
  <c r="A46" i="12"/>
  <c r="A45" i="12"/>
  <c r="A44" i="12"/>
  <c r="A43" i="12"/>
  <c r="A42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</calcChain>
</file>

<file path=xl/sharedStrings.xml><?xml version="1.0" encoding="utf-8"?>
<sst xmlns="http://schemas.openxmlformats.org/spreadsheetml/2006/main" count="667" uniqueCount="217">
  <si>
    <t>Total</t>
  </si>
  <si>
    <t>X</t>
  </si>
  <si>
    <t>(): Extrapolation aufgrund von 49 oder weniger Beobachtungen. Die Resultate sind mit grosser Vorsicht zu interpretieren.</t>
  </si>
  <si>
    <t>X: Extrapolation aufgrund von 4 oder weniger Beobachtungen. Die Resultate werden aus Gründen des Datenschutzes nicht publiziert.</t>
  </si>
  <si>
    <t>Quelle: BFS (Strukturerhebung)</t>
  </si>
  <si>
    <t>Genferseeregion</t>
  </si>
  <si>
    <t>Waadt</t>
  </si>
  <si>
    <t>Wallis</t>
  </si>
  <si>
    <t>Genf</t>
  </si>
  <si>
    <t>Espace Mittelland</t>
  </si>
  <si>
    <t>Bern</t>
  </si>
  <si>
    <t>Freiburg</t>
  </si>
  <si>
    <t>Solothurn</t>
  </si>
  <si>
    <t>Neuenburg</t>
  </si>
  <si>
    <t>Jura</t>
  </si>
  <si>
    <t>Nordwestschweiz</t>
  </si>
  <si>
    <t>Basel-Stadt</t>
  </si>
  <si>
    <t>Basel-Landschaft</t>
  </si>
  <si>
    <t>Aargau</t>
  </si>
  <si>
    <t>Zürich</t>
  </si>
  <si>
    <t>Ostschweiz</t>
  </si>
  <si>
    <t>Glarus</t>
  </si>
  <si>
    <t>Schaffhausen</t>
  </si>
  <si>
    <t>St. Gallen</t>
  </si>
  <si>
    <t>Graubünden</t>
  </si>
  <si>
    <t>Thurgau</t>
  </si>
  <si>
    <t>Zentralschweiz</t>
  </si>
  <si>
    <t>Luzern</t>
  </si>
  <si>
    <t>Uri</t>
  </si>
  <si>
    <t>Schwyz</t>
  </si>
  <si>
    <t>Obwalden</t>
  </si>
  <si>
    <t>Nidwalden</t>
  </si>
  <si>
    <t>Zug</t>
  </si>
  <si>
    <t>Tessin</t>
  </si>
  <si>
    <t>Evangelisch-reformiert</t>
  </si>
  <si>
    <t>Römisch-katholisch</t>
  </si>
  <si>
    <t>Andere christliche Glaubensgemeinschaften</t>
  </si>
  <si>
    <t>Jüdische Glaubensgemeinschaften</t>
  </si>
  <si>
    <t>Andere Religionsgemeinschaften</t>
  </si>
  <si>
    <t>Ohne Religionszugehörigkeit</t>
  </si>
  <si>
    <t>Religionszugehörigkeit unbekannt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</si>
  <si>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</si>
  <si>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</si>
  <si>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</si>
  <si>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</si>
  <si>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</si>
  <si>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</si>
  <si>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</si>
  <si>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</si>
  <si>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</si>
  <si>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</si>
  <si>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</si>
  <si>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</si>
  <si>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</si>
  <si>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</si>
  <si>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</si>
  <si>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Totale</t>
  </si>
  <si>
    <t>&lt;SpaltenTitel_2&gt;</t>
  </si>
  <si>
    <t>&lt;SpaltenTitel_3&gt;</t>
  </si>
  <si>
    <t>Anzahl Personen</t>
  </si>
  <si>
    <t>Dumber da persunas</t>
  </si>
  <si>
    <t>Numero di persone</t>
  </si>
  <si>
    <t>&lt;SpaltenTitel_2.1&gt;</t>
  </si>
  <si>
    <t>&lt;SpaltenTitel_2.2&gt;</t>
  </si>
  <si>
    <t>&lt;Zeilentitel_1&gt;</t>
  </si>
  <si>
    <t>&lt;Zeilentitel_2&gt;</t>
  </si>
  <si>
    <t>Turitg</t>
  </si>
  <si>
    <t>&lt;Zeilentitel_3&gt;</t>
  </si>
  <si>
    <t>Berna</t>
  </si>
  <si>
    <t>&lt;Zeilentitel_4&gt;</t>
  </si>
  <si>
    <t>Lucerna</t>
  </si>
  <si>
    <t>&lt;Zeilentitel_5&gt;</t>
  </si>
  <si>
    <t>&lt;Zeilentitel_6&gt;</t>
  </si>
  <si>
    <t>Sviz</t>
  </si>
  <si>
    <t>&lt;Zeilentitel_7&gt;</t>
  </si>
  <si>
    <t>Sursilvania</t>
  </si>
  <si>
    <t>&lt;Zeilentitel_8&gt;</t>
  </si>
  <si>
    <t>Sutsilvania</t>
  </si>
  <si>
    <t>&lt;Zeilentitel_9&gt;</t>
  </si>
  <si>
    <t>Glaruna</t>
  </si>
  <si>
    <t>&lt;Zeilentitel_10&gt;</t>
  </si>
  <si>
    <t>&lt;Zeilentitel_11&gt;</t>
  </si>
  <si>
    <t>Friburg</t>
  </si>
  <si>
    <t>&lt;Zeilentitel_12&gt;</t>
  </si>
  <si>
    <t>Soloturn</t>
  </si>
  <si>
    <t>&lt;Zeilentitel_13&gt;</t>
  </si>
  <si>
    <t>Basilea-Citad</t>
  </si>
  <si>
    <t>&lt;Zeilentitel_14&gt;</t>
  </si>
  <si>
    <t>Basilea-Champagna</t>
  </si>
  <si>
    <t>&lt;Zeilentitel_15&gt;</t>
  </si>
  <si>
    <t>Schaffusa</t>
  </si>
  <si>
    <t>&lt;Zeilentitel_16&gt;</t>
  </si>
  <si>
    <t>Appenzell Ausserrhoden</t>
  </si>
  <si>
    <t>Appenzell Dadora</t>
  </si>
  <si>
    <t>&lt;Zeilentitel_17&gt;</t>
  </si>
  <si>
    <t>Appenzell Innerrhoden</t>
  </si>
  <si>
    <t>Appenzell Dadens</t>
  </si>
  <si>
    <t>&lt;Zeilentitel_18&gt;</t>
  </si>
  <si>
    <t>Son Gagl</t>
  </si>
  <si>
    <t>&lt;Zeilentitel_19&gt;</t>
  </si>
  <si>
    <t>Grischun</t>
  </si>
  <si>
    <t>&lt;Zeilentitel_20&gt;</t>
  </si>
  <si>
    <t>Argovia</t>
  </si>
  <si>
    <t>&lt;Zeilentitel_21&gt;</t>
  </si>
  <si>
    <t>Turgovia</t>
  </si>
  <si>
    <t>&lt;Zeilentitel_22&gt;</t>
  </si>
  <si>
    <t>&lt;Zeilentitel_23&gt;</t>
  </si>
  <si>
    <t>Vad</t>
  </si>
  <si>
    <t>&lt;Zeilentitel_24&gt;</t>
  </si>
  <si>
    <t>Vallais</t>
  </si>
  <si>
    <t>&lt;Zeilentitel_25&gt;</t>
  </si>
  <si>
    <t>Neuchâtel</t>
  </si>
  <si>
    <t>&lt;Zeilentitel_26&gt;</t>
  </si>
  <si>
    <t>Genevra</t>
  </si>
  <si>
    <t>&lt;Zeilentitel_27&gt;</t>
  </si>
  <si>
    <t>Giura</t>
  </si>
  <si>
    <t>&lt;Legende_1&gt;</t>
  </si>
  <si>
    <t>(): Extrapolaziun sin basa da 49 u damain observaziuns. Ils resultats ston vegnir interpretads cun gronda precauziun.</t>
  </si>
  <si>
    <t>(): Estrapolazione basata su meno di 50 osservazioni. I risultati sono da interpretare con molta precauzione.</t>
  </si>
  <si>
    <t>&lt;Legende_2&gt;</t>
  </si>
  <si>
    <t>X : Estrapolazione basata su meno di 5 osservazioni. I risultati non sono pubblicati per ragioni legate alla protezione dei dati.</t>
  </si>
  <si>
    <t>&lt;Legende_3&gt;</t>
  </si>
  <si>
    <t>&lt;Legende_4&gt;</t>
  </si>
  <si>
    <t>&lt;Quelle_1&gt;</t>
  </si>
  <si>
    <t>Funtauna: UST (enquista da structura)</t>
  </si>
  <si>
    <t>Fonte: UST - Rilevazione strutturale (RS)</t>
  </si>
  <si>
    <t>&lt;Aktualisierung&gt;</t>
  </si>
  <si>
    <t>&lt;SpaltenTitel_4&gt;</t>
  </si>
  <si>
    <t>&lt;SpaltenTitel_5&gt;</t>
  </si>
  <si>
    <t>&lt;SpaltenTitel_6&gt;</t>
  </si>
  <si>
    <t>&lt;SpaltenTitel_7&gt;</t>
  </si>
  <si>
    <t>&lt;SpaltenTitel_8&gt;</t>
  </si>
  <si>
    <t>&lt;SpaltenTitel_9&gt;</t>
  </si>
  <si>
    <t>&lt;Zeilentitel_28&gt;</t>
  </si>
  <si>
    <t>&lt;Zeilentitel_30&gt;</t>
  </si>
  <si>
    <t>&lt;Zeilentitel_31&gt;</t>
  </si>
  <si>
    <t>&lt;Zeilentitel_32&gt;</t>
  </si>
  <si>
    <t>&lt;Zeilentitel_29&gt;</t>
  </si>
  <si>
    <t>Autras cuminanzas cristianas da cardientscha</t>
  </si>
  <si>
    <t>Cuminanzas da cardientscha giudaicas</t>
  </si>
  <si>
    <t>Autras cuminanzas religiusas</t>
  </si>
  <si>
    <t>Senza appartegnientscha religiusa</t>
  </si>
  <si>
    <t>Evangelic-refurmà</t>
  </si>
  <si>
    <t>Catolic-roman</t>
  </si>
  <si>
    <t>L'appartegnientscha religiusa n'è betg enconuschenta</t>
  </si>
  <si>
    <t>Svizra dal Nordvest</t>
  </si>
  <si>
    <t>Svizra Orientala</t>
  </si>
  <si>
    <t>Svizra Centrala</t>
  </si>
  <si>
    <t>Regiun dal Lai da Genevra</t>
  </si>
  <si>
    <t xml:space="preserve">Regione del Lemano       </t>
  </si>
  <si>
    <t xml:space="preserve">Vaud                     </t>
  </si>
  <si>
    <t xml:space="preserve">Vallese                  </t>
  </si>
  <si>
    <t xml:space="preserve">Ginevra                  </t>
  </si>
  <si>
    <t xml:space="preserve">Spazio Mittelland        </t>
  </si>
  <si>
    <t xml:space="preserve">Berna                    </t>
  </si>
  <si>
    <t xml:space="preserve">Friburgo                 </t>
  </si>
  <si>
    <t xml:space="preserve">Soletta                  </t>
  </si>
  <si>
    <t xml:space="preserve">Neuchâtel                </t>
  </si>
  <si>
    <t xml:space="preserve">Giura                    </t>
  </si>
  <si>
    <t>Svizzera Nord-occidentale</t>
  </si>
  <si>
    <t xml:space="preserve">Basilea Città            </t>
  </si>
  <si>
    <t xml:space="preserve">Basilea Campagna         </t>
  </si>
  <si>
    <t xml:space="preserve">Argovia                  </t>
  </si>
  <si>
    <t xml:space="preserve">Zurigo                   </t>
  </si>
  <si>
    <t xml:space="preserve">Svizzera orientale       </t>
  </si>
  <si>
    <t xml:space="preserve">Glarona                  </t>
  </si>
  <si>
    <t xml:space="preserve">Sciaffusa                </t>
  </si>
  <si>
    <t xml:space="preserve">Appenzello Esterno       </t>
  </si>
  <si>
    <t xml:space="preserve">Appenzello Interno       </t>
  </si>
  <si>
    <t xml:space="preserve">San Gallo                </t>
  </si>
  <si>
    <t xml:space="preserve">Grigioni                 </t>
  </si>
  <si>
    <t xml:space="preserve">Turgovia                 </t>
  </si>
  <si>
    <t xml:space="preserve">Svizzera centrale        </t>
  </si>
  <si>
    <t xml:space="preserve">Lucerna                  </t>
  </si>
  <si>
    <t xml:space="preserve">Uri                      </t>
  </si>
  <si>
    <t xml:space="preserve">Svitto                   </t>
  </si>
  <si>
    <t xml:space="preserve">Obvaldo                  </t>
  </si>
  <si>
    <t xml:space="preserve">Nidvaldo                 </t>
  </si>
  <si>
    <t xml:space="preserve">Zugo                     </t>
  </si>
  <si>
    <t xml:space="preserve">Ticino                   </t>
  </si>
  <si>
    <t>Protestante</t>
  </si>
  <si>
    <t>Cattolico romano</t>
  </si>
  <si>
    <t>Altre comunità cristiane</t>
  </si>
  <si>
    <t>Comunità di confessione ebraica</t>
  </si>
  <si>
    <t>Altre chiese e comunità religiose</t>
  </si>
  <si>
    <t>Senza appartenenza religiosa</t>
  </si>
  <si>
    <t>Appartenenza religiosa sconosciuta</t>
  </si>
  <si>
    <t>Appartenenza religiosa secondo il Cantone</t>
  </si>
  <si>
    <t>Appartegnientscha religiusa tenor ils chantuns</t>
  </si>
  <si>
    <t xml:space="preserve">Ab 2010 stammen die Daten aus einer Stichprobenerhebung der ständigen Wohnbevölkerung ab vollendetem 15. Altersjahr, die in Privathaushalten lebt. </t>
  </si>
  <si>
    <t>&lt;Legende_5&gt;</t>
  </si>
  <si>
    <t xml:space="preserve">A partir da l' onn 2010 derivan las datas d' ina retschertga da provas da controlla da la populaziun residenta permanenta a partir da 15 onns che viva en chasadas privatas. </t>
  </si>
  <si>
    <t xml:space="preserve">La popolazione considerata è la popolazione residente permanente, vale a dire stabilita in Svizzera da almeno 12 mesi, di 15 anni o più compiuti e che vive in un'economia domestica. </t>
  </si>
  <si>
    <t>Sono esclusi diplomatici, i funzionari internazionali ed i loro familiari e le persone che vivono in una collettività. Questi dati non sono direttamente confrontabili con quelli dei censimenti anteriori al 2010.</t>
  </si>
  <si>
    <t>Nicht befragt wurden Diplomaten, internationale Funktionäre und deren Familienangehörige. Diese Daten sind mit jenen der frühreren Jahre nicht direkt vergleichbar.</t>
  </si>
  <si>
    <t>Das Vertrauensintervall zeigt die Genauigkeit der Resultate einer Stichprobenerhebung.</t>
  </si>
  <si>
    <t>I dati provengono da una rilevazione campionaria. Ecco perchè sono accompagnati da un intervallo di confidenza (IC).</t>
  </si>
  <si>
    <t>Diplomats, funcziunaris internaziunals e lur confamigliars n'èn betg vegnids interrogads. Questas datas n'èn betg cumparegliablas directamain cun quellas dals onns precedents.</t>
  </si>
  <si>
    <t>L'interval da confidenza mussa la precisiun dals resultats d'ina retschertga cun emprovas da controlla.</t>
  </si>
  <si>
    <t>X: Extrapolaziun pervia da 4 u damain observaziuns. Per motivs da la protecziun da datas na vegnan ils resultats betg publitgads</t>
  </si>
  <si>
    <t>Interval da confidenza:          ± (en %)</t>
  </si>
  <si>
    <t>Intervallo di confidenza:          ± (in %)</t>
  </si>
  <si>
    <t>Vertrauens- intervall:          ± (in %)</t>
  </si>
  <si>
    <r>
      <t>Religionszugehörigkeit</t>
    </r>
    <r>
      <rPr>
        <sz val="10"/>
        <rFont val="Arial"/>
        <family val="2"/>
      </rPr>
      <t xml:space="preserve"> nach Kanton</t>
    </r>
  </si>
  <si>
    <t>* inkl. andere aus dem Islam hervorgegangene Gemeinschaften</t>
  </si>
  <si>
    <t>* incl. autras cuminanzas che derivan da l'islam</t>
  </si>
  <si>
    <t>* incl. le altre comunità derivate dall’islam</t>
  </si>
  <si>
    <t>&lt;Legende_6&gt;</t>
  </si>
  <si>
    <t>Islamische Glaubensgem.*</t>
  </si>
  <si>
    <t>Cuminanzas da cardientscha islamicas*</t>
  </si>
  <si>
    <t>Comunità islamiche*</t>
  </si>
  <si>
    <t>Letztmals aktualisiert am: 29.01.2026</t>
  </si>
  <si>
    <t>Ultima actualisaziun: 29.01.2026</t>
  </si>
  <si>
    <t>Ulimo aggiornamento: 29.01.2026</t>
  </si>
  <si>
    <t>Ständige Wohnbevölkerung ab 15 Jahren</t>
  </si>
  <si>
    <t>Populaziun residenta permanenta a partir da 15 onns</t>
  </si>
  <si>
    <t>Popolazione residente permanente di 15 anni e più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</si>
</sst>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 * #,##0_ ;_ * \-#,##0_ ;_ * &quot;-&quot;??_ ;_ @_ "/>
    <numFmt numFmtId="165" formatCode="_-* #,##0.00\ _€_-;\-* #,##0.00\ _€_-;_-* &quot;-&quot;??\ _€_-;_-@_-"/>
    <numFmt numFmtId="166" formatCode="0.0"/>
    <numFmt numFmtId="167" formatCode="\(0.0\)"/>
    <numFmt numFmtId="168" formatCode="0.0%"/>
    <numFmt numFmtId="169" formatCode="#,##0_ ;\-#,##0\ "/>
    <numFmt numFmtId="170" formatCode="#\'###\'##0"/>
    <numFmt numFmtId="171" formatCode="#\'##0"/>
    <numFmt numFmtId="172" formatCode="\(##0\)"/>
    <numFmt numFmtId="173" formatCode="\(#\'##0\)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sz val="8.5"/>
      <name val="Helvetica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13" fillId="0" borderId="0"/>
  </cellStyleXfs>
  <cellXfs count="161">
    <xf numFmtId="0" fontId="0" fillId="0" borderId="0" xfId="0"/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/>
    <xf numFmtId="164" fontId="7" fillId="2" borderId="0" xfId="4" applyNumberFormat="1" applyFont="1" applyFill="1" applyBorder="1" applyAlignment="1" applyProtection="1"/>
    <xf numFmtId="0" fontId="8" fillId="2" borderId="0" xfId="0" applyFont="1" applyFill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8" fillId="3" borderId="6" xfId="0" applyFont="1" applyFill="1" applyBorder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3" fontId="3" fillId="2" borderId="0" xfId="4" applyNumberFormat="1" applyFont="1" applyFill="1" applyBorder="1" applyAlignment="1" applyProtection="1">
      <alignment horizontal="right" wrapText="1"/>
    </xf>
    <xf numFmtId="168" fontId="3" fillId="2" borderId="0" xfId="2" applyNumberFormat="1" applyFont="1" applyFill="1" applyBorder="1" applyAlignment="1" applyProtection="1">
      <alignment horizontal="right" wrapText="1"/>
    </xf>
    <xf numFmtId="169" fontId="3" fillId="2" borderId="0" xfId="4" applyNumberFormat="1" applyFont="1" applyFill="1" applyBorder="1" applyAlignment="1" applyProtection="1">
      <alignment horizontal="right" wrapText="1"/>
    </xf>
    <xf numFmtId="168" fontId="3" fillId="2" borderId="0" xfId="4" applyNumberFormat="1" applyFont="1" applyFill="1" applyBorder="1" applyAlignment="1" applyProtection="1">
      <alignment horizontal="right" wrapText="1"/>
    </xf>
    <xf numFmtId="0" fontId="1" fillId="2" borderId="0" xfId="0" applyFont="1" applyFill="1"/>
    <xf numFmtId="0" fontId="9" fillId="2" borderId="16" xfId="0" applyFont="1" applyFill="1" applyBorder="1" applyAlignment="1">
      <alignment horizontal="left" vertical="center" wrapText="1"/>
    </xf>
    <xf numFmtId="0" fontId="4" fillId="2" borderId="0" xfId="0" applyFont="1" applyFill="1"/>
    <xf numFmtId="0" fontId="8" fillId="3" borderId="6" xfId="0" applyFont="1" applyFill="1" applyBorder="1" applyAlignment="1">
      <alignment vertical="top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left" vertical="center"/>
    </xf>
    <xf numFmtId="170" fontId="14" fillId="2" borderId="4" xfId="1" applyNumberFormat="1" applyFont="1" applyFill="1" applyBorder="1" applyAlignment="1" applyProtection="1">
      <alignment horizontal="right" vertical="center" wrapText="1"/>
    </xf>
    <xf numFmtId="166" fontId="14" fillId="2" borderId="2" xfId="1" applyNumberFormat="1" applyFont="1" applyFill="1" applyBorder="1" applyAlignment="1" applyProtection="1">
      <alignment horizontal="right" vertical="center" wrapText="1"/>
    </xf>
    <xf numFmtId="170" fontId="14" fillId="2" borderId="3" xfId="1" applyNumberFormat="1" applyFont="1" applyFill="1" applyBorder="1" applyAlignment="1" applyProtection="1">
      <alignment horizontal="right" vertical="center" wrapText="1"/>
    </xf>
    <xf numFmtId="171" fontId="14" fillId="2" borderId="4" xfId="1" applyNumberFormat="1" applyFont="1" applyFill="1" applyBorder="1" applyAlignment="1" applyProtection="1">
      <alignment horizontal="right" vertical="center" wrapText="1"/>
    </xf>
    <xf numFmtId="166" fontId="14" fillId="2" borderId="3" xfId="1" applyNumberFormat="1" applyFont="1" applyFill="1" applyBorder="1" applyAlignment="1" applyProtection="1">
      <alignment horizontal="right" vertical="center" wrapText="1"/>
    </xf>
    <xf numFmtId="171" fontId="14" fillId="2" borderId="3" xfId="1" applyNumberFormat="1" applyFont="1" applyFill="1" applyBorder="1" applyAlignment="1" applyProtection="1">
      <alignment horizontal="right" vertical="center" wrapText="1"/>
    </xf>
    <xf numFmtId="166" fontId="14" fillId="2" borderId="5" xfId="1" applyNumberFormat="1" applyFont="1" applyFill="1" applyBorder="1" applyAlignment="1" applyProtection="1">
      <alignment horizontal="right" vertical="center" wrapText="1"/>
    </xf>
    <xf numFmtId="170" fontId="14" fillId="2" borderId="7" xfId="1" applyNumberFormat="1" applyFont="1" applyFill="1" applyBorder="1" applyAlignment="1" applyProtection="1">
      <alignment horizontal="right" vertical="center" wrapText="1"/>
    </xf>
    <xf numFmtId="171" fontId="3" fillId="2" borderId="9" xfId="1" applyNumberFormat="1" applyFont="1" applyFill="1" applyBorder="1" applyAlignment="1" applyProtection="1">
      <alignment horizontal="right" vertical="center" wrapText="1"/>
    </xf>
    <xf numFmtId="166" fontId="3" fillId="2" borderId="8" xfId="1" applyNumberFormat="1" applyFont="1" applyFill="1" applyBorder="1" applyAlignment="1" applyProtection="1">
      <alignment horizontal="right" vertical="center" wrapText="1"/>
    </xf>
    <xf numFmtId="171" fontId="3" fillId="2" borderId="0" xfId="1" applyNumberFormat="1" applyFont="1" applyFill="1" applyBorder="1" applyAlignment="1" applyProtection="1">
      <alignment horizontal="right" vertical="center" wrapText="1"/>
    </xf>
    <xf numFmtId="166" fontId="3" fillId="2" borderId="0" xfId="1" applyNumberFormat="1" applyFont="1" applyFill="1" applyBorder="1" applyAlignment="1" applyProtection="1">
      <alignment horizontal="right" vertical="center" wrapText="1"/>
    </xf>
    <xf numFmtId="166" fontId="3" fillId="2" borderId="10" xfId="1" applyNumberFormat="1" applyFont="1" applyFill="1" applyBorder="1" applyAlignment="1" applyProtection="1">
      <alignment horizontal="right" vertical="center" wrapText="1"/>
    </xf>
    <xf numFmtId="172" fontId="3" fillId="2" borderId="9" xfId="1" applyNumberFormat="1" applyFont="1" applyFill="1" applyBorder="1" applyAlignment="1" applyProtection="1">
      <alignment horizontal="right" vertical="center" wrapText="1"/>
    </xf>
    <xf numFmtId="167" fontId="3" fillId="2" borderId="8" xfId="1" applyNumberFormat="1" applyFont="1" applyFill="1" applyBorder="1" applyAlignment="1" applyProtection="1">
      <alignment horizontal="right" vertical="center" wrapText="1"/>
    </xf>
    <xf numFmtId="173" fontId="3" fillId="2" borderId="9" xfId="1" applyNumberFormat="1" applyFont="1" applyFill="1" applyBorder="1" applyAlignment="1" applyProtection="1">
      <alignment horizontal="right" vertical="center" wrapText="1"/>
    </xf>
    <xf numFmtId="167" fontId="3" fillId="2" borderId="0" xfId="1" applyNumberFormat="1" applyFont="1" applyFill="1" applyBorder="1" applyAlignment="1" applyProtection="1">
      <alignment horizontal="right" vertical="center" wrapText="1"/>
    </xf>
    <xf numFmtId="1" fontId="3" fillId="2" borderId="9" xfId="1" applyNumberFormat="1" applyFont="1" applyFill="1" applyBorder="1" applyAlignment="1" applyProtection="1">
      <alignment horizontal="right" vertical="center" wrapText="1"/>
    </xf>
    <xf numFmtId="173" fontId="3" fillId="2" borderId="0" xfId="1" applyNumberFormat="1" applyFont="1" applyFill="1" applyBorder="1" applyAlignment="1" applyProtection="1">
      <alignment horizontal="right" vertical="center" wrapText="1"/>
    </xf>
    <xf numFmtId="167" fontId="3" fillId="2" borderId="10" xfId="1" applyNumberFormat="1" applyFont="1" applyFill="1" applyBorder="1" applyAlignment="1" applyProtection="1">
      <alignment horizontal="right" vertical="center" wrapText="1"/>
    </xf>
    <xf numFmtId="172" fontId="3" fillId="2" borderId="0" xfId="1" applyNumberFormat="1" applyFont="1" applyFill="1" applyBorder="1" applyAlignment="1" applyProtection="1">
      <alignment horizontal="right" vertical="center" wrapText="1"/>
    </xf>
    <xf numFmtId="0" fontId="10" fillId="4" borderId="0" xfId="0" applyFont="1" applyFill="1" applyBorder="1" applyAlignment="1">
      <alignment horizontal="left" vertical="top"/>
    </xf>
    <xf numFmtId="0" fontId="10" fillId="4" borderId="0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1" fillId="5" borderId="0" xfId="0" applyFont="1" applyFill="1" applyBorder="1" applyAlignment="1">
      <alignment horizontal="left" vertical="top"/>
    </xf>
    <xf numFmtId="0" fontId="1" fillId="5" borderId="0" xfId="0" applyFont="1" applyFill="1" applyBorder="1" applyAlignment="1" applyProtection="1">
      <alignment horizontal="left" vertical="top"/>
      <protection locked="0"/>
    </xf>
    <xf numFmtId="0" fontId="1" fillId="5" borderId="0" xfId="0" applyFont="1" applyFill="1" applyBorder="1" applyAlignment="1" applyProtection="1">
      <alignment horizontal="left" vertical="top" wrapText="1"/>
      <protection locked="0"/>
    </xf>
    <xf numFmtId="0" fontId="1" fillId="5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top"/>
    </xf>
    <xf numFmtId="0" fontId="1" fillId="6" borderId="0" xfId="0" applyFont="1" applyFill="1" applyBorder="1" applyAlignment="1">
      <alignment horizontal="left" vertical="top" wrapText="1"/>
    </xf>
    <xf numFmtId="0" fontId="7" fillId="2" borderId="0" xfId="0" applyFont="1" applyFill="1"/>
    <xf numFmtId="0" fontId="9" fillId="3" borderId="0" xfId="0" applyFont="1" applyFill="1" applyAlignment="1">
      <alignment horizontal="left" vertical="top"/>
    </xf>
    <xf numFmtId="164" fontId="9" fillId="3" borderId="0" xfId="1" applyNumberFormat="1" applyFont="1" applyFill="1" applyBorder="1" applyAlignment="1" applyProtection="1">
      <alignment horizontal="left" vertical="top"/>
    </xf>
    <xf numFmtId="0" fontId="8" fillId="8" borderId="6" xfId="0" applyFont="1" applyFill="1" applyBorder="1" applyAlignment="1">
      <alignment vertical="top" wrapText="1"/>
    </xf>
    <xf numFmtId="171" fontId="3" fillId="8" borderId="9" xfId="1" applyNumberFormat="1" applyFont="1" applyFill="1" applyBorder="1" applyAlignment="1" applyProtection="1">
      <alignment horizontal="right" vertical="center" wrapText="1"/>
    </xf>
    <xf numFmtId="166" fontId="3" fillId="8" borderId="8" xfId="1" applyNumberFormat="1" applyFont="1" applyFill="1" applyBorder="1" applyAlignment="1" applyProtection="1">
      <alignment horizontal="right" vertical="center" wrapText="1"/>
    </xf>
    <xf numFmtId="171" fontId="3" fillId="8" borderId="0" xfId="1" applyNumberFormat="1" applyFont="1" applyFill="1" applyBorder="1" applyAlignment="1" applyProtection="1">
      <alignment horizontal="right" vertical="center" wrapText="1"/>
    </xf>
    <xf numFmtId="166" fontId="3" fillId="8" borderId="0" xfId="1" applyNumberFormat="1" applyFont="1" applyFill="1" applyBorder="1" applyAlignment="1" applyProtection="1">
      <alignment horizontal="right" vertical="center" wrapText="1"/>
    </xf>
    <xf numFmtId="166" fontId="3" fillId="8" borderId="10" xfId="1" applyNumberFormat="1" applyFont="1" applyFill="1" applyBorder="1" applyAlignment="1" applyProtection="1">
      <alignment horizontal="right" vertical="center" wrapText="1"/>
    </xf>
    <xf numFmtId="173" fontId="3" fillId="8" borderId="9" xfId="1" applyNumberFormat="1" applyFont="1" applyFill="1" applyBorder="1" applyAlignment="1" applyProtection="1">
      <alignment horizontal="right" vertical="center" wrapText="1"/>
    </xf>
    <xf numFmtId="167" fontId="3" fillId="8" borderId="8" xfId="1" applyNumberFormat="1" applyFont="1" applyFill="1" applyBorder="1" applyAlignment="1" applyProtection="1">
      <alignment horizontal="right" vertical="center" wrapText="1"/>
    </xf>
    <xf numFmtId="172" fontId="3" fillId="8" borderId="9" xfId="1" applyNumberFormat="1" applyFont="1" applyFill="1" applyBorder="1" applyAlignment="1" applyProtection="1">
      <alignment horizontal="right" vertical="center" wrapText="1"/>
    </xf>
    <xf numFmtId="0" fontId="8" fillId="0" borderId="6" xfId="0" applyFont="1" applyFill="1" applyBorder="1" applyAlignment="1">
      <alignment vertical="top" wrapText="1"/>
    </xf>
    <xf numFmtId="171" fontId="3" fillId="0" borderId="9" xfId="1" applyNumberFormat="1" applyFont="1" applyFill="1" applyBorder="1" applyAlignment="1" applyProtection="1">
      <alignment horizontal="right" vertical="center" wrapText="1"/>
    </xf>
    <xf numFmtId="166" fontId="3" fillId="0" borderId="8" xfId="1" applyNumberFormat="1" applyFont="1" applyFill="1" applyBorder="1" applyAlignment="1" applyProtection="1">
      <alignment horizontal="right" vertical="center" wrapText="1"/>
    </xf>
    <xf numFmtId="171" fontId="3" fillId="0" borderId="0" xfId="1" applyNumberFormat="1" applyFont="1" applyFill="1" applyBorder="1" applyAlignment="1" applyProtection="1">
      <alignment horizontal="right" vertical="center" wrapText="1"/>
    </xf>
    <xf numFmtId="166" fontId="3" fillId="0" borderId="0" xfId="1" applyNumberFormat="1" applyFont="1" applyFill="1" applyBorder="1" applyAlignment="1" applyProtection="1">
      <alignment horizontal="right" vertical="center" wrapText="1"/>
    </xf>
    <xf numFmtId="1" fontId="3" fillId="0" borderId="9" xfId="1" applyNumberFormat="1" applyFont="1" applyFill="1" applyBorder="1" applyAlignment="1" applyProtection="1">
      <alignment horizontal="right" vertical="center" wrapText="1"/>
    </xf>
    <xf numFmtId="173" fontId="3" fillId="0" borderId="9" xfId="1" applyNumberFormat="1" applyFont="1" applyFill="1" applyBorder="1" applyAlignment="1" applyProtection="1">
      <alignment horizontal="right" vertical="center" wrapText="1"/>
    </xf>
    <xf numFmtId="167" fontId="3" fillId="0" borderId="0" xfId="1" applyNumberFormat="1" applyFont="1" applyFill="1" applyBorder="1" applyAlignment="1" applyProtection="1">
      <alignment horizontal="right" vertical="center" wrapText="1"/>
    </xf>
    <xf numFmtId="172" fontId="3" fillId="0" borderId="9" xfId="1" applyNumberFormat="1" applyFont="1" applyFill="1" applyBorder="1" applyAlignment="1" applyProtection="1">
      <alignment horizontal="right" vertical="center" wrapText="1"/>
    </xf>
    <xf numFmtId="167" fontId="3" fillId="0" borderId="10" xfId="1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/>
    <xf numFmtId="0" fontId="1" fillId="0" borderId="0" xfId="0" applyFont="1" applyFill="1" applyBorder="1"/>
    <xf numFmtId="0" fontId="7" fillId="0" borderId="0" xfId="0" applyFont="1" applyFill="1" applyBorder="1"/>
    <xf numFmtId="0" fontId="0" fillId="0" borderId="0" xfId="0" applyFill="1" applyBorder="1"/>
    <xf numFmtId="1" fontId="3" fillId="2" borderId="0" xfId="1" applyNumberFormat="1" applyFont="1" applyFill="1" applyBorder="1" applyAlignment="1" applyProtection="1">
      <alignment horizontal="right" vertical="center" wrapText="1"/>
    </xf>
    <xf numFmtId="3" fontId="3" fillId="2" borderId="0" xfId="1" applyNumberFormat="1" applyFont="1" applyFill="1" applyBorder="1" applyAlignment="1" applyProtection="1">
      <alignment horizontal="right" vertical="center" wrapText="1"/>
    </xf>
    <xf numFmtId="166" fontId="3" fillId="2" borderId="23" xfId="1" applyNumberFormat="1" applyFont="1" applyFill="1" applyBorder="1" applyAlignment="1" applyProtection="1">
      <alignment horizontal="right" vertical="center" wrapText="1"/>
    </xf>
    <xf numFmtId="167" fontId="3" fillId="2" borderId="23" xfId="1" applyNumberFormat="1" applyFont="1" applyFill="1" applyBorder="1" applyAlignment="1" applyProtection="1">
      <alignment horizontal="right" vertical="center" wrapText="1"/>
    </xf>
    <xf numFmtId="166" fontId="3" fillId="2" borderId="25" xfId="1" applyNumberFormat="1" applyFont="1" applyFill="1" applyBorder="1" applyAlignment="1" applyProtection="1">
      <alignment horizontal="right" vertical="center" wrapText="1"/>
    </xf>
    <xf numFmtId="167" fontId="3" fillId="2" borderId="25" xfId="1" applyNumberFormat="1" applyFont="1" applyFill="1" applyBorder="1" applyAlignment="1" applyProtection="1">
      <alignment horizontal="right" vertical="center" wrapText="1"/>
    </xf>
    <xf numFmtId="166" fontId="3" fillId="8" borderId="25" xfId="1" applyNumberFormat="1" applyFont="1" applyFill="1" applyBorder="1" applyAlignment="1" applyProtection="1">
      <alignment horizontal="right" vertical="center" wrapText="1"/>
    </xf>
    <xf numFmtId="166" fontId="3" fillId="8" borderId="23" xfId="1" applyNumberFormat="1" applyFont="1" applyFill="1" applyBorder="1" applyAlignment="1" applyProtection="1">
      <alignment horizontal="right" vertical="center" wrapText="1"/>
    </xf>
    <xf numFmtId="173" fontId="3" fillId="8" borderId="0" xfId="1" applyNumberFormat="1" applyFont="1" applyFill="1" applyBorder="1" applyAlignment="1" applyProtection="1">
      <alignment horizontal="right" vertical="center" wrapText="1"/>
    </xf>
    <xf numFmtId="167" fontId="3" fillId="8" borderId="25" xfId="1" applyNumberFormat="1" applyFont="1" applyFill="1" applyBorder="1" applyAlignment="1" applyProtection="1">
      <alignment horizontal="right" vertical="center" wrapText="1"/>
    </xf>
    <xf numFmtId="172" fontId="3" fillId="8" borderId="0" xfId="1" applyNumberFormat="1" applyFont="1" applyFill="1" applyBorder="1" applyAlignment="1" applyProtection="1">
      <alignment horizontal="right" vertical="center" wrapText="1"/>
    </xf>
    <xf numFmtId="171" fontId="3" fillId="9" borderId="0" xfId="1" applyNumberFormat="1" applyFont="1" applyFill="1" applyBorder="1" applyAlignment="1" applyProtection="1">
      <alignment horizontal="right" vertical="center" wrapText="1"/>
    </xf>
    <xf numFmtId="166" fontId="3" fillId="9" borderId="0" xfId="1" applyNumberFormat="1" applyFont="1" applyFill="1" applyBorder="1" applyAlignment="1" applyProtection="1">
      <alignment horizontal="right" vertical="center" wrapText="1"/>
    </xf>
    <xf numFmtId="170" fontId="14" fillId="2" borderId="31" xfId="1" applyNumberFormat="1" applyFont="1" applyFill="1" applyBorder="1" applyAlignment="1" applyProtection="1">
      <alignment horizontal="right" vertical="center" wrapText="1"/>
    </xf>
    <xf numFmtId="0" fontId="3" fillId="0" borderId="34" xfId="1" applyNumberFormat="1" applyFont="1" applyFill="1" applyBorder="1" applyAlignment="1" applyProtection="1">
      <alignment horizontal="right" vertical="top" wrapText="1"/>
    </xf>
    <xf numFmtId="0" fontId="3" fillId="0" borderId="35" xfId="1" applyNumberFormat="1" applyFont="1" applyFill="1" applyBorder="1" applyAlignment="1" applyProtection="1">
      <alignment horizontal="right" vertical="top" wrapText="1"/>
    </xf>
    <xf numFmtId="171" fontId="3" fillId="9" borderId="9" xfId="1" applyNumberFormat="1" applyFont="1" applyFill="1" applyBorder="1" applyAlignment="1" applyProtection="1">
      <alignment horizontal="right" vertical="center" wrapText="1"/>
    </xf>
    <xf numFmtId="166" fontId="3" fillId="9" borderId="8" xfId="1" applyNumberFormat="1" applyFont="1" applyFill="1" applyBorder="1" applyAlignment="1" applyProtection="1">
      <alignment horizontal="right" vertical="center" wrapText="1"/>
    </xf>
    <xf numFmtId="0" fontId="3" fillId="0" borderId="36" xfId="1" applyNumberFormat="1" applyFont="1" applyFill="1" applyBorder="1" applyAlignment="1" applyProtection="1">
      <alignment horizontal="right" vertical="top" wrapText="1"/>
    </xf>
    <xf numFmtId="173" fontId="3" fillId="9" borderId="9" xfId="1" applyNumberFormat="1" applyFont="1" applyFill="1" applyBorder="1" applyAlignment="1" applyProtection="1">
      <alignment horizontal="right" vertical="center" wrapText="1"/>
    </xf>
    <xf numFmtId="167" fontId="3" fillId="9" borderId="8" xfId="1" applyNumberFormat="1" applyFont="1" applyFill="1" applyBorder="1" applyAlignment="1" applyProtection="1">
      <alignment horizontal="right" vertical="center" wrapText="1"/>
    </xf>
    <xf numFmtId="172" fontId="3" fillId="9" borderId="9" xfId="1" applyNumberFormat="1" applyFont="1" applyFill="1" applyBorder="1" applyAlignment="1" applyProtection="1">
      <alignment horizontal="right" vertical="center" wrapText="1"/>
    </xf>
    <xf numFmtId="0" fontId="3" fillId="0" borderId="37" xfId="1" applyNumberFormat="1" applyFont="1" applyFill="1" applyBorder="1" applyAlignment="1" applyProtection="1">
      <alignment horizontal="right" vertical="top" wrapText="1"/>
    </xf>
    <xf numFmtId="166" fontId="3" fillId="9" borderId="10" xfId="1" applyNumberFormat="1" applyFont="1" applyFill="1" applyBorder="1" applyAlignment="1" applyProtection="1">
      <alignment horizontal="right" vertical="center" wrapText="1"/>
    </xf>
    <xf numFmtId="170" fontId="3" fillId="9" borderId="32" xfId="1" applyNumberFormat="1" applyFont="1" applyFill="1" applyBorder="1" applyAlignment="1" applyProtection="1">
      <alignment horizontal="right" vertical="center" wrapText="1"/>
    </xf>
    <xf numFmtId="171" fontId="3" fillId="2" borderId="32" xfId="1" applyNumberFormat="1" applyFont="1" applyFill="1" applyBorder="1" applyAlignment="1" applyProtection="1">
      <alignment horizontal="right" vertical="center" wrapText="1"/>
    </xf>
    <xf numFmtId="170" fontId="3" fillId="2" borderId="32" xfId="1" applyNumberFormat="1" applyFont="1" applyFill="1" applyBorder="1" applyAlignment="1" applyProtection="1">
      <alignment horizontal="right" vertical="center" wrapText="1"/>
    </xf>
    <xf numFmtId="171" fontId="3" fillId="9" borderId="32" xfId="1" applyNumberFormat="1" applyFont="1" applyFill="1" applyBorder="1" applyAlignment="1" applyProtection="1">
      <alignment horizontal="right" vertical="center" wrapText="1"/>
    </xf>
    <xf numFmtId="166" fontId="14" fillId="2" borderId="25" xfId="1" applyNumberFormat="1" applyFont="1" applyFill="1" applyBorder="1" applyAlignment="1" applyProtection="1">
      <alignment horizontal="right" vertical="center" wrapText="1"/>
    </xf>
    <xf numFmtId="170" fontId="14" fillId="2" borderId="9" xfId="1" applyNumberFormat="1" applyFont="1" applyFill="1" applyBorder="1" applyAlignment="1" applyProtection="1">
      <alignment horizontal="right" vertical="center" wrapText="1"/>
    </xf>
    <xf numFmtId="171" fontId="14" fillId="2" borderId="9" xfId="1" applyNumberFormat="1" applyFont="1" applyFill="1" applyBorder="1" applyAlignment="1" applyProtection="1">
      <alignment horizontal="right" vertical="center" wrapText="1"/>
    </xf>
    <xf numFmtId="171" fontId="14" fillId="2" borderId="0" xfId="1" applyNumberFormat="1" applyFont="1" applyFill="1" applyBorder="1" applyAlignment="1" applyProtection="1">
      <alignment horizontal="right" vertical="center" wrapText="1"/>
    </xf>
    <xf numFmtId="166" fontId="14" fillId="2" borderId="23" xfId="1" applyNumberFormat="1" applyFont="1" applyFill="1" applyBorder="1" applyAlignment="1" applyProtection="1">
      <alignment horizontal="right" vertical="center" wrapText="1"/>
    </xf>
    <xf numFmtId="0" fontId="3" fillId="0" borderId="38" xfId="1" applyNumberFormat="1" applyFont="1" applyFill="1" applyBorder="1" applyAlignment="1" applyProtection="1">
      <alignment horizontal="right" vertical="top" wrapText="1"/>
    </xf>
    <xf numFmtId="0" fontId="3" fillId="0" borderId="39" xfId="1" applyNumberFormat="1" applyFont="1" applyFill="1" applyBorder="1" applyAlignment="1" applyProtection="1">
      <alignment horizontal="right" vertical="top" wrapText="1"/>
    </xf>
    <xf numFmtId="170" fontId="3" fillId="8" borderId="7" xfId="1" applyNumberFormat="1" applyFont="1" applyFill="1" applyBorder="1" applyAlignment="1" applyProtection="1">
      <alignment horizontal="right" vertical="center" wrapText="1"/>
    </xf>
    <xf numFmtId="171" fontId="3" fillId="2" borderId="7" xfId="1" applyNumberFormat="1" applyFont="1" applyFill="1" applyBorder="1" applyAlignment="1" applyProtection="1">
      <alignment horizontal="right" vertical="center" wrapText="1"/>
    </xf>
    <xf numFmtId="171" fontId="3" fillId="8" borderId="7" xfId="1" applyNumberFormat="1" applyFont="1" applyFill="1" applyBorder="1" applyAlignment="1" applyProtection="1">
      <alignment horizontal="right" vertical="center" wrapText="1"/>
    </xf>
    <xf numFmtId="170" fontId="3" fillId="2" borderId="7" xfId="1" applyNumberFormat="1" applyFont="1" applyFill="1" applyBorder="1" applyAlignment="1" applyProtection="1">
      <alignment horizontal="right" vertical="center" wrapText="1"/>
    </xf>
    <xf numFmtId="171" fontId="3" fillId="0" borderId="7" xfId="1" applyNumberFormat="1" applyFont="1" applyFill="1" applyBorder="1" applyAlignment="1" applyProtection="1">
      <alignment horizontal="right" vertical="center" wrapText="1"/>
    </xf>
    <xf numFmtId="166" fontId="14" fillId="2" borderId="8" xfId="1" applyNumberFormat="1" applyFont="1" applyFill="1" applyBorder="1" applyAlignment="1" applyProtection="1">
      <alignment horizontal="right" vertical="center" wrapText="1"/>
    </xf>
    <xf numFmtId="170" fontId="14" fillId="2" borderId="0" xfId="1" applyNumberFormat="1" applyFont="1" applyFill="1" applyBorder="1" applyAlignment="1" applyProtection="1">
      <alignment horizontal="right" vertical="center" wrapText="1"/>
    </xf>
    <xf numFmtId="166" fontId="14" fillId="2" borderId="0" xfId="1" applyNumberFormat="1" applyFont="1" applyFill="1" applyBorder="1" applyAlignment="1" applyProtection="1">
      <alignment horizontal="right" vertical="center" wrapText="1"/>
    </xf>
    <xf numFmtId="166" fontId="14" fillId="2" borderId="10" xfId="1" applyNumberFormat="1" applyFont="1" applyFill="1" applyBorder="1" applyAlignment="1" applyProtection="1">
      <alignment horizontal="right" vertical="center" wrapText="1"/>
    </xf>
    <xf numFmtId="170" fontId="14" fillId="2" borderId="20" xfId="1" applyNumberFormat="1" applyFont="1" applyFill="1" applyBorder="1" applyAlignment="1" applyProtection="1">
      <alignment horizontal="right" vertical="center" wrapText="1"/>
    </xf>
    <xf numFmtId="171" fontId="3" fillId="8" borderId="20" xfId="1" applyNumberFormat="1" applyFont="1" applyFill="1" applyBorder="1" applyAlignment="1" applyProtection="1">
      <alignment horizontal="right" vertical="center" wrapText="1"/>
    </xf>
    <xf numFmtId="171" fontId="3" fillId="2" borderId="20" xfId="1" applyNumberFormat="1" applyFont="1" applyFill="1" applyBorder="1" applyAlignment="1" applyProtection="1">
      <alignment horizontal="right" vertical="center" wrapText="1"/>
    </xf>
    <xf numFmtId="173" fontId="3" fillId="2" borderId="20" xfId="1" applyNumberFormat="1" applyFont="1" applyFill="1" applyBorder="1" applyAlignment="1" applyProtection="1">
      <alignment horizontal="right" vertical="center" wrapText="1"/>
    </xf>
    <xf numFmtId="170" fontId="3" fillId="8" borderId="32" xfId="1" applyNumberFormat="1" applyFont="1" applyFill="1" applyBorder="1" applyAlignment="1" applyProtection="1">
      <alignment horizontal="right" vertical="center" wrapText="1"/>
    </xf>
    <xf numFmtId="171" fontId="3" fillId="8" borderId="32" xfId="1" applyNumberFormat="1" applyFont="1" applyFill="1" applyBorder="1" applyAlignment="1" applyProtection="1">
      <alignment horizontal="right" vertical="center" wrapText="1"/>
    </xf>
    <xf numFmtId="0" fontId="8" fillId="9" borderId="11" xfId="0" applyFont="1" applyFill="1" applyBorder="1" applyAlignment="1">
      <alignment vertical="top" wrapText="1"/>
    </xf>
    <xf numFmtId="171" fontId="3" fillId="9" borderId="12" xfId="1" applyNumberFormat="1" applyFont="1" applyFill="1" applyBorder="1" applyAlignment="1" applyProtection="1">
      <alignment horizontal="right" vertical="center" wrapText="1"/>
    </xf>
    <xf numFmtId="171" fontId="3" fillId="9" borderId="14" xfId="1" applyNumberFormat="1" applyFont="1" applyFill="1" applyBorder="1" applyAlignment="1" applyProtection="1">
      <alignment horizontal="right" vertical="center" wrapText="1"/>
    </xf>
    <xf numFmtId="166" fontId="3" fillId="9" borderId="13" xfId="1" applyNumberFormat="1" applyFont="1" applyFill="1" applyBorder="1" applyAlignment="1" applyProtection="1">
      <alignment horizontal="right" vertical="center" wrapText="1"/>
    </xf>
    <xf numFmtId="171" fontId="3" fillId="9" borderId="1" xfId="1" applyNumberFormat="1" applyFont="1" applyFill="1" applyBorder="1" applyAlignment="1" applyProtection="1">
      <alignment horizontal="right" vertical="center" wrapText="1"/>
    </xf>
    <xf numFmtId="166" fontId="3" fillId="9" borderId="1" xfId="1" applyNumberFormat="1" applyFont="1" applyFill="1" applyBorder="1" applyAlignment="1" applyProtection="1">
      <alignment horizontal="right" vertical="center" wrapText="1"/>
    </xf>
    <xf numFmtId="172" fontId="3" fillId="9" borderId="14" xfId="1" applyNumberFormat="1" applyFont="1" applyFill="1" applyBorder="1" applyAlignment="1" applyProtection="1">
      <alignment horizontal="right" vertical="center" wrapText="1"/>
    </xf>
    <xf numFmtId="167" fontId="3" fillId="9" borderId="13" xfId="1" applyNumberFormat="1" applyFont="1" applyFill="1" applyBorder="1" applyAlignment="1" applyProtection="1">
      <alignment horizontal="right" vertical="center" wrapText="1"/>
    </xf>
    <xf numFmtId="166" fontId="3" fillId="9" borderId="15" xfId="1" applyNumberFormat="1" applyFont="1" applyFill="1" applyBorder="1" applyAlignment="1" applyProtection="1">
      <alignment horizontal="right" vertical="center" wrapText="1"/>
    </xf>
    <xf numFmtId="171" fontId="3" fillId="9" borderId="33" xfId="1" applyNumberFormat="1" applyFont="1" applyFill="1" applyBorder="1" applyAlignment="1" applyProtection="1">
      <alignment horizontal="right" vertical="center" wrapText="1"/>
    </xf>
    <xf numFmtId="171" fontId="3" fillId="9" borderId="40" xfId="1" applyNumberFormat="1" applyFont="1" applyFill="1" applyBorder="1" applyAlignment="1" applyProtection="1">
      <alignment horizontal="right" vertical="center" wrapText="1"/>
    </xf>
    <xf numFmtId="166" fontId="3" fillId="9" borderId="26" xfId="1" applyNumberFormat="1" applyFont="1" applyFill="1" applyBorder="1" applyAlignment="1" applyProtection="1">
      <alignment horizontal="right" vertical="center" wrapText="1"/>
    </xf>
    <xf numFmtId="172" fontId="3" fillId="9" borderId="1" xfId="1" applyNumberFormat="1" applyFont="1" applyFill="1" applyBorder="1" applyAlignment="1" applyProtection="1">
      <alignment horizontal="right" vertical="center" wrapText="1"/>
    </xf>
    <xf numFmtId="167" fontId="3" fillId="9" borderId="26" xfId="1" applyNumberFormat="1" applyFont="1" applyFill="1" applyBorder="1" applyAlignment="1" applyProtection="1">
      <alignment horizontal="right" vertical="center" wrapText="1"/>
    </xf>
    <xf numFmtId="166" fontId="3" fillId="9" borderId="24" xfId="1" applyNumberFormat="1" applyFont="1" applyFill="1" applyBorder="1" applyAlignment="1" applyProtection="1">
      <alignment horizontal="right" vertical="center" wrapText="1"/>
    </xf>
    <xf numFmtId="0" fontId="9" fillId="7" borderId="28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6" fillId="7" borderId="17" xfId="0" applyFont="1" applyFill="1" applyBorder="1" applyAlignment="1">
      <alignment horizontal="center"/>
    </xf>
    <xf numFmtId="0" fontId="6" fillId="7" borderId="18" xfId="0" applyFont="1" applyFill="1" applyBorder="1" applyAlignment="1">
      <alignment horizontal="center"/>
    </xf>
    <xf numFmtId="0" fontId="6" fillId="7" borderId="19" xfId="0" applyFont="1" applyFill="1" applyBorder="1" applyAlignment="1">
      <alignment horizontal="center"/>
    </xf>
    <xf numFmtId="0" fontId="9" fillId="7" borderId="27" xfId="0" applyFont="1" applyFill="1" applyBorder="1" applyAlignment="1">
      <alignment horizontal="center" vertical="center" wrapText="1"/>
    </xf>
    <xf numFmtId="0" fontId="0" fillId="7" borderId="30" xfId="0" applyFill="1" applyBorder="1" applyAlignment="1">
      <alignment wrapText="1"/>
    </xf>
    <xf numFmtId="0" fontId="9" fillId="7" borderId="38" xfId="0" applyFont="1" applyFill="1" applyBorder="1" applyAlignment="1">
      <alignment horizontal="center" vertical="center" wrapText="1"/>
    </xf>
    <xf numFmtId="0" fontId="9" fillId="7" borderId="39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/>
    </xf>
    <xf numFmtId="0" fontId="6" fillId="7" borderId="21" xfId="0" applyFont="1" applyFill="1" applyBorder="1" applyAlignment="1">
      <alignment horizontal="center"/>
    </xf>
    <xf numFmtId="0" fontId="6" fillId="7" borderId="22" xfId="0" applyFont="1" applyFill="1" applyBorder="1" applyAlignment="1">
      <alignment horizontal="center"/>
    </xf>
    <xf numFmtId="0" fontId="9" fillId="7" borderId="30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/>
    </xf>
    <xf numFmtId="0" fontId="6" fillId="7" borderId="28" xfId="0" applyFont="1" applyFill="1" applyBorder="1" applyAlignment="1">
      <alignment horizontal="center"/>
    </xf>
    <xf numFmtId="0" fontId="6" fillId="7" borderId="29" xfId="0" applyFont="1" applyFill="1" applyBorder="1" applyAlignment="1">
      <alignment horizontal="center"/>
    </xf>
  </cellXfs>
  <cellStyles count="8">
    <cellStyle name="Komma" xfId="1" builtinId="3"/>
    <cellStyle name="Komma 2" xfId="4" xr:uid="{00000000-0005-0000-0000-000001000000}"/>
    <cellStyle name="Komma 3" xfId="5" xr:uid="{00000000-0005-0000-0000-000002000000}"/>
    <cellStyle name="Normal 2" xfId="6" xr:uid="{00000000-0005-0000-0000-000003000000}"/>
    <cellStyle name="Normal 3" xfId="7" xr:uid="{00000000-0005-0000-0000-000004000000}"/>
    <cellStyle name="Prozent" xfId="2" builtinId="5"/>
    <cellStyle name="Standard" xfId="0" builtinId="0"/>
    <cellStyle name="Standard 2" xfId="3" xr:uid="{00000000-0005-0000-0000-000007000000}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0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40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0</xdr:row>
      <xdr:rowOff>19050</xdr:rowOff>
    </xdr:from>
    <xdr:to>
      <xdr:col>8</xdr:col>
      <xdr:colOff>695939</xdr:colOff>
      <xdr:row>4</xdr:row>
      <xdr:rowOff>145523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20F032FA-CBA9-4A40-B25B-2E5B6DD8A27B}"/>
            </a:ext>
          </a:extLst>
        </xdr:cNvPr>
        <xdr:cNvGrpSpPr/>
      </xdr:nvGrpSpPr>
      <xdr:grpSpPr>
        <a:xfrm>
          <a:off x="4991100" y="19050"/>
          <a:ext cx="2800964" cy="888473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3" name="Rechteck 2">
            <a:extLst>
              <a:ext uri="{FF2B5EF4-FFF2-40B4-BE49-F238E27FC236}">
                <a16:creationId xmlns:a16="http://schemas.microsoft.com/office/drawing/2014/main" id="{D76F407C-5B74-7489-99EC-E1CF6A70C0C4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" name="Gruppieren 3">
                <a:extLst>
                  <a:ext uri="{FF2B5EF4-FFF2-40B4-BE49-F238E27FC236}">
                    <a16:creationId xmlns:a16="http://schemas.microsoft.com/office/drawing/2014/main" id="{1FB81D6F-2776-FEA1-B9D6-2784717E3BDA}"/>
                  </a:ext>
                </a:extLst>
              </xdr:cNvPr>
              <xdr:cNvGrpSpPr/>
            </xdr:nvGrpSpPr>
            <xdr:grpSpPr>
              <a:xfrm>
                <a:off x="6553200" y="374273"/>
                <a:ext cx="1200149" cy="533405"/>
                <a:chOff x="6553200" y="374273"/>
                <a:chExt cx="1200149" cy="533405"/>
              </a:xfrm>
              <a:grpFill/>
            </xdr:grpSpPr>
            <xdr:sp macro="" textlink="">
              <xdr:nvSpPr>
                <xdr:cNvPr id="63489" name="Option Button 1" hidden="1">
                  <a:extLst>
                    <a:ext uri="{63B3BB69-23CF-44E3-9099-C40C66FF867C}">
                      <a14:compatExt spid="_x0000_s63489"/>
                    </a:ext>
                    <a:ext uri="{FF2B5EF4-FFF2-40B4-BE49-F238E27FC236}">
                      <a16:creationId xmlns:a16="http://schemas.microsoft.com/office/drawing/2014/main" id="{00000000-0008-0000-0000-000001F8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63490" name="Option Button 2" hidden="1">
                  <a:extLst>
                    <a:ext uri="{63B3BB69-23CF-44E3-9099-C40C66FF867C}">
                      <a14:compatExt spid="_x0000_s63490"/>
                    </a:ext>
                    <a:ext uri="{FF2B5EF4-FFF2-40B4-BE49-F238E27FC236}">
                      <a16:creationId xmlns:a16="http://schemas.microsoft.com/office/drawing/2014/main" id="{00000000-0008-0000-0000-000002F8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49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63491" name="Option Button 3" hidden="1">
                  <a:extLst>
                    <a:ext uri="{63B3BB69-23CF-44E3-9099-C40C66FF867C}">
                      <a14:compatExt spid="_x0000_s63491"/>
                    </a:ext>
                    <a:ext uri="{FF2B5EF4-FFF2-40B4-BE49-F238E27FC236}">
                      <a16:creationId xmlns:a16="http://schemas.microsoft.com/office/drawing/2014/main" id="{00000000-0008-0000-0000-000003F8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358775</xdr:colOff>
      <xdr:row>5</xdr:row>
      <xdr:rowOff>13727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D4B987D-196B-4723-B3B4-E899857BF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0</xdr:row>
      <xdr:rowOff>19050</xdr:rowOff>
    </xdr:from>
    <xdr:to>
      <xdr:col>8</xdr:col>
      <xdr:colOff>695939</xdr:colOff>
      <xdr:row>4</xdr:row>
      <xdr:rowOff>145523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7F92DC7F-D3BE-4134-B031-9D23431780FC}"/>
            </a:ext>
          </a:extLst>
        </xdr:cNvPr>
        <xdr:cNvGrpSpPr/>
      </xdr:nvGrpSpPr>
      <xdr:grpSpPr>
        <a:xfrm>
          <a:off x="4991100" y="19050"/>
          <a:ext cx="2800964" cy="888473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3" name="Rechteck 2">
            <a:extLst>
              <a:ext uri="{FF2B5EF4-FFF2-40B4-BE49-F238E27FC236}">
                <a16:creationId xmlns:a16="http://schemas.microsoft.com/office/drawing/2014/main" id="{FE54F33B-5B9C-8525-C8DF-63C407717182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" name="Gruppieren 3">
                <a:extLst>
                  <a:ext uri="{FF2B5EF4-FFF2-40B4-BE49-F238E27FC236}">
                    <a16:creationId xmlns:a16="http://schemas.microsoft.com/office/drawing/2014/main" id="{7131BDB1-3429-B885-5B01-D5F54D9E1107}"/>
                  </a:ext>
                </a:extLst>
              </xdr:cNvPr>
              <xdr:cNvGrpSpPr/>
            </xdr:nvGrpSpPr>
            <xdr:grpSpPr>
              <a:xfrm>
                <a:off x="6553200" y="374273"/>
                <a:ext cx="1200149" cy="533405"/>
                <a:chOff x="6553200" y="374273"/>
                <a:chExt cx="1200149" cy="533405"/>
              </a:xfrm>
              <a:grpFill/>
            </xdr:grpSpPr>
            <xdr:sp macro="" textlink="">
              <xdr:nvSpPr>
                <xdr:cNvPr id="25601" name="Option Button 1" hidden="1">
                  <a:extLst>
                    <a:ext uri="{63B3BB69-23CF-44E3-9099-C40C66FF867C}">
                      <a14:compatExt spid="_x0000_s25601"/>
                    </a:ext>
                    <a:ext uri="{FF2B5EF4-FFF2-40B4-BE49-F238E27FC236}">
                      <a16:creationId xmlns:a16="http://schemas.microsoft.com/office/drawing/2014/main" id="{00000000-0008-0000-0900-00000164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25602" name="Option Button 2" hidden="1">
                  <a:extLst>
                    <a:ext uri="{63B3BB69-23CF-44E3-9099-C40C66FF867C}">
                      <a14:compatExt spid="_x0000_s25602"/>
                    </a:ext>
                    <a:ext uri="{FF2B5EF4-FFF2-40B4-BE49-F238E27FC236}">
                      <a16:creationId xmlns:a16="http://schemas.microsoft.com/office/drawing/2014/main" id="{00000000-0008-0000-0900-00000264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49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25603" name="Option Button 3" hidden="1">
                  <a:extLst>
                    <a:ext uri="{63B3BB69-23CF-44E3-9099-C40C66FF867C}">
                      <a14:compatExt spid="_x0000_s25603"/>
                    </a:ext>
                    <a:ext uri="{FF2B5EF4-FFF2-40B4-BE49-F238E27FC236}">
                      <a16:creationId xmlns:a16="http://schemas.microsoft.com/office/drawing/2014/main" id="{00000000-0008-0000-0900-00000364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358775</xdr:colOff>
      <xdr:row>5</xdr:row>
      <xdr:rowOff>13727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B7C2933-DB04-4F4C-80E0-ECF40ABF9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0</xdr:row>
      <xdr:rowOff>19050</xdr:rowOff>
    </xdr:from>
    <xdr:to>
      <xdr:col>8</xdr:col>
      <xdr:colOff>695939</xdr:colOff>
      <xdr:row>4</xdr:row>
      <xdr:rowOff>145523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ED203E68-24D1-4EBA-B523-6A7E6A438D2F}"/>
            </a:ext>
          </a:extLst>
        </xdr:cNvPr>
        <xdr:cNvGrpSpPr/>
      </xdr:nvGrpSpPr>
      <xdr:grpSpPr>
        <a:xfrm>
          <a:off x="4991100" y="19050"/>
          <a:ext cx="2800964" cy="888473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3" name="Rechteck 2">
            <a:extLst>
              <a:ext uri="{FF2B5EF4-FFF2-40B4-BE49-F238E27FC236}">
                <a16:creationId xmlns:a16="http://schemas.microsoft.com/office/drawing/2014/main" id="{CF490400-B69B-AF13-E053-BF691A5F7C91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" name="Gruppieren 3">
                <a:extLst>
                  <a:ext uri="{FF2B5EF4-FFF2-40B4-BE49-F238E27FC236}">
                    <a16:creationId xmlns:a16="http://schemas.microsoft.com/office/drawing/2014/main" id="{C92027F7-0342-202C-7049-16C5617D0D70}"/>
                  </a:ext>
                </a:extLst>
              </xdr:cNvPr>
              <xdr:cNvGrpSpPr/>
            </xdr:nvGrpSpPr>
            <xdr:grpSpPr>
              <a:xfrm>
                <a:off x="6553200" y="374273"/>
                <a:ext cx="1200149" cy="533405"/>
                <a:chOff x="6553200" y="374273"/>
                <a:chExt cx="1200149" cy="533405"/>
              </a:xfrm>
              <a:grpFill/>
            </xdr:grpSpPr>
            <xdr:sp macro="" textlink="">
              <xdr:nvSpPr>
                <xdr:cNvPr id="24577" name="Option Button 1" hidden="1">
                  <a:extLst>
                    <a:ext uri="{63B3BB69-23CF-44E3-9099-C40C66FF867C}">
                      <a14:compatExt spid="_x0000_s24577"/>
                    </a:ext>
                    <a:ext uri="{FF2B5EF4-FFF2-40B4-BE49-F238E27FC236}">
                      <a16:creationId xmlns:a16="http://schemas.microsoft.com/office/drawing/2014/main" id="{00000000-0008-0000-0A00-00000160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24578" name="Option Button 2" hidden="1">
                  <a:extLst>
                    <a:ext uri="{63B3BB69-23CF-44E3-9099-C40C66FF867C}">
                      <a14:compatExt spid="_x0000_s24578"/>
                    </a:ext>
                    <a:ext uri="{FF2B5EF4-FFF2-40B4-BE49-F238E27FC236}">
                      <a16:creationId xmlns:a16="http://schemas.microsoft.com/office/drawing/2014/main" id="{00000000-0008-0000-0A00-00000260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49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24579" name="Option Button 3" hidden="1">
                  <a:extLst>
                    <a:ext uri="{63B3BB69-23CF-44E3-9099-C40C66FF867C}">
                      <a14:compatExt spid="_x0000_s24579"/>
                    </a:ext>
                    <a:ext uri="{FF2B5EF4-FFF2-40B4-BE49-F238E27FC236}">
                      <a16:creationId xmlns:a16="http://schemas.microsoft.com/office/drawing/2014/main" id="{00000000-0008-0000-0A00-00000360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358775</xdr:colOff>
      <xdr:row>5</xdr:row>
      <xdr:rowOff>13727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31C1D7B-BD0A-4A11-9B1E-E35B80DB1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0</xdr:row>
      <xdr:rowOff>19050</xdr:rowOff>
    </xdr:from>
    <xdr:to>
      <xdr:col>8</xdr:col>
      <xdr:colOff>695939</xdr:colOff>
      <xdr:row>4</xdr:row>
      <xdr:rowOff>145523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B73F89D6-90CE-4BA7-96D9-E237538A7BA7}"/>
            </a:ext>
          </a:extLst>
        </xdr:cNvPr>
        <xdr:cNvGrpSpPr/>
      </xdr:nvGrpSpPr>
      <xdr:grpSpPr>
        <a:xfrm>
          <a:off x="4991100" y="19050"/>
          <a:ext cx="2800964" cy="888473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3" name="Rechteck 2">
            <a:extLst>
              <a:ext uri="{FF2B5EF4-FFF2-40B4-BE49-F238E27FC236}">
                <a16:creationId xmlns:a16="http://schemas.microsoft.com/office/drawing/2014/main" id="{3994FE2D-E84B-E694-ADA5-4C2D1D3EF061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" name="Gruppieren 3">
                <a:extLst>
                  <a:ext uri="{FF2B5EF4-FFF2-40B4-BE49-F238E27FC236}">
                    <a16:creationId xmlns:a16="http://schemas.microsoft.com/office/drawing/2014/main" id="{226888C4-482A-D866-A6D2-6031C2F5E1BD}"/>
                  </a:ext>
                </a:extLst>
              </xdr:cNvPr>
              <xdr:cNvGrpSpPr/>
            </xdr:nvGrpSpPr>
            <xdr:grpSpPr>
              <a:xfrm>
                <a:off x="6553200" y="374273"/>
                <a:ext cx="1200149" cy="533405"/>
                <a:chOff x="6553200" y="374273"/>
                <a:chExt cx="1200149" cy="533405"/>
              </a:xfrm>
              <a:grpFill/>
            </xdr:grpSpPr>
            <xdr:sp macro="" textlink="">
              <xdr:nvSpPr>
                <xdr:cNvPr id="30721" name="Option Button 1" hidden="1">
                  <a:extLst>
                    <a:ext uri="{63B3BB69-23CF-44E3-9099-C40C66FF867C}">
                      <a14:compatExt spid="_x0000_s30721"/>
                    </a:ext>
                    <a:ext uri="{FF2B5EF4-FFF2-40B4-BE49-F238E27FC236}">
                      <a16:creationId xmlns:a16="http://schemas.microsoft.com/office/drawing/2014/main" id="{00000000-0008-0000-0B00-00000178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30722" name="Option Button 2" hidden="1">
                  <a:extLst>
                    <a:ext uri="{63B3BB69-23CF-44E3-9099-C40C66FF867C}">
                      <a14:compatExt spid="_x0000_s30722"/>
                    </a:ext>
                    <a:ext uri="{FF2B5EF4-FFF2-40B4-BE49-F238E27FC236}">
                      <a16:creationId xmlns:a16="http://schemas.microsoft.com/office/drawing/2014/main" id="{00000000-0008-0000-0B00-00000278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49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30723" name="Option Button 3" hidden="1">
                  <a:extLst>
                    <a:ext uri="{63B3BB69-23CF-44E3-9099-C40C66FF867C}">
                      <a14:compatExt spid="_x0000_s30723"/>
                    </a:ext>
                    <a:ext uri="{FF2B5EF4-FFF2-40B4-BE49-F238E27FC236}">
                      <a16:creationId xmlns:a16="http://schemas.microsoft.com/office/drawing/2014/main" id="{00000000-0008-0000-0B00-00000378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358775</xdr:colOff>
      <xdr:row>5</xdr:row>
      <xdr:rowOff>13727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80EBE18-7B18-4D2C-A0B4-D215BD258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0</xdr:row>
      <xdr:rowOff>19050</xdr:rowOff>
    </xdr:from>
    <xdr:to>
      <xdr:col>8</xdr:col>
      <xdr:colOff>695939</xdr:colOff>
      <xdr:row>4</xdr:row>
      <xdr:rowOff>145523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B8846E93-AC51-453C-B29E-DA7721A4A6FF}"/>
            </a:ext>
          </a:extLst>
        </xdr:cNvPr>
        <xdr:cNvGrpSpPr/>
      </xdr:nvGrpSpPr>
      <xdr:grpSpPr>
        <a:xfrm>
          <a:off x="4991100" y="19050"/>
          <a:ext cx="2800964" cy="888473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3" name="Rechteck 2">
            <a:extLst>
              <a:ext uri="{FF2B5EF4-FFF2-40B4-BE49-F238E27FC236}">
                <a16:creationId xmlns:a16="http://schemas.microsoft.com/office/drawing/2014/main" id="{F81B0EC6-40AF-BE76-2488-2F5E7146C415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" name="Gruppieren 3">
                <a:extLst>
                  <a:ext uri="{FF2B5EF4-FFF2-40B4-BE49-F238E27FC236}">
                    <a16:creationId xmlns:a16="http://schemas.microsoft.com/office/drawing/2014/main" id="{965C5891-5913-8BFC-1AA3-FEDD83223B11}"/>
                  </a:ext>
                </a:extLst>
              </xdr:cNvPr>
              <xdr:cNvGrpSpPr/>
            </xdr:nvGrpSpPr>
            <xdr:grpSpPr>
              <a:xfrm>
                <a:off x="6553200" y="374273"/>
                <a:ext cx="1200149" cy="533405"/>
                <a:chOff x="6553200" y="374273"/>
                <a:chExt cx="1200149" cy="533405"/>
              </a:xfrm>
              <a:grpFill/>
            </xdr:grpSpPr>
            <xdr:sp macro="" textlink="">
              <xdr:nvSpPr>
                <xdr:cNvPr id="29697" name="Option Button 1" hidden="1">
                  <a:extLst>
                    <a:ext uri="{63B3BB69-23CF-44E3-9099-C40C66FF867C}">
                      <a14:compatExt spid="_x0000_s29697"/>
                    </a:ext>
                    <a:ext uri="{FF2B5EF4-FFF2-40B4-BE49-F238E27FC236}">
                      <a16:creationId xmlns:a16="http://schemas.microsoft.com/office/drawing/2014/main" id="{00000000-0008-0000-0C00-00000174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29698" name="Option Button 2" hidden="1">
                  <a:extLst>
                    <a:ext uri="{63B3BB69-23CF-44E3-9099-C40C66FF867C}">
                      <a14:compatExt spid="_x0000_s29698"/>
                    </a:ext>
                    <a:ext uri="{FF2B5EF4-FFF2-40B4-BE49-F238E27FC236}">
                      <a16:creationId xmlns:a16="http://schemas.microsoft.com/office/drawing/2014/main" id="{00000000-0008-0000-0C00-00000274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49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29699" name="Option Button 3" hidden="1">
                  <a:extLst>
                    <a:ext uri="{63B3BB69-23CF-44E3-9099-C40C66FF867C}">
                      <a14:compatExt spid="_x0000_s29699"/>
                    </a:ext>
                    <a:ext uri="{FF2B5EF4-FFF2-40B4-BE49-F238E27FC236}">
                      <a16:creationId xmlns:a16="http://schemas.microsoft.com/office/drawing/2014/main" id="{00000000-0008-0000-0C00-00000374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358775</xdr:colOff>
      <xdr:row>5</xdr:row>
      <xdr:rowOff>13727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658E096E-B771-430F-9B01-DB1C0B080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0</xdr:row>
      <xdr:rowOff>19050</xdr:rowOff>
    </xdr:from>
    <xdr:to>
      <xdr:col>8</xdr:col>
      <xdr:colOff>695939</xdr:colOff>
      <xdr:row>4</xdr:row>
      <xdr:rowOff>145523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DE62085-87A5-4328-B09F-1B3AC753D032}"/>
            </a:ext>
          </a:extLst>
        </xdr:cNvPr>
        <xdr:cNvGrpSpPr/>
      </xdr:nvGrpSpPr>
      <xdr:grpSpPr>
        <a:xfrm>
          <a:off x="4991100" y="19050"/>
          <a:ext cx="2800964" cy="888473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3" name="Rechteck 2">
            <a:extLst>
              <a:ext uri="{FF2B5EF4-FFF2-40B4-BE49-F238E27FC236}">
                <a16:creationId xmlns:a16="http://schemas.microsoft.com/office/drawing/2014/main" id="{FE092932-4C8F-139A-BB2A-5D8EDB362562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" name="Gruppieren 3">
                <a:extLst>
                  <a:ext uri="{FF2B5EF4-FFF2-40B4-BE49-F238E27FC236}">
                    <a16:creationId xmlns:a16="http://schemas.microsoft.com/office/drawing/2014/main" id="{35A9E66D-6B89-14F8-2149-716C1604F757}"/>
                  </a:ext>
                </a:extLst>
              </xdr:cNvPr>
              <xdr:cNvGrpSpPr/>
            </xdr:nvGrpSpPr>
            <xdr:grpSpPr>
              <a:xfrm>
                <a:off x="6553200" y="374273"/>
                <a:ext cx="1200149" cy="533405"/>
                <a:chOff x="6553200" y="374273"/>
                <a:chExt cx="1200149" cy="533405"/>
              </a:xfrm>
              <a:grpFill/>
            </xdr:grpSpPr>
            <xdr:sp macro="" textlink="">
              <xdr:nvSpPr>
                <xdr:cNvPr id="28673" name="Option Button 1" hidden="1">
                  <a:extLst>
                    <a:ext uri="{63B3BB69-23CF-44E3-9099-C40C66FF867C}">
                      <a14:compatExt spid="_x0000_s28673"/>
                    </a:ext>
                    <a:ext uri="{FF2B5EF4-FFF2-40B4-BE49-F238E27FC236}">
                      <a16:creationId xmlns:a16="http://schemas.microsoft.com/office/drawing/2014/main" id="{00000000-0008-0000-0D00-00000170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28674" name="Option Button 2" hidden="1">
                  <a:extLst>
                    <a:ext uri="{63B3BB69-23CF-44E3-9099-C40C66FF867C}">
                      <a14:compatExt spid="_x0000_s28674"/>
                    </a:ext>
                    <a:ext uri="{FF2B5EF4-FFF2-40B4-BE49-F238E27FC236}">
                      <a16:creationId xmlns:a16="http://schemas.microsoft.com/office/drawing/2014/main" id="{00000000-0008-0000-0D00-00000270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49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28675" name="Option Button 3" hidden="1">
                  <a:extLst>
                    <a:ext uri="{63B3BB69-23CF-44E3-9099-C40C66FF867C}">
                      <a14:compatExt spid="_x0000_s28675"/>
                    </a:ext>
                    <a:ext uri="{FF2B5EF4-FFF2-40B4-BE49-F238E27FC236}">
                      <a16:creationId xmlns:a16="http://schemas.microsoft.com/office/drawing/2014/main" id="{00000000-0008-0000-0D00-00000370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358775</xdr:colOff>
      <xdr:row>5</xdr:row>
      <xdr:rowOff>13727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CE79ABF-9AF6-412F-84CA-033CBC927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0</xdr:row>
      <xdr:rowOff>19050</xdr:rowOff>
    </xdr:from>
    <xdr:to>
      <xdr:col>8</xdr:col>
      <xdr:colOff>695939</xdr:colOff>
      <xdr:row>4</xdr:row>
      <xdr:rowOff>145523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DF1BB9AE-8EFC-403E-B0E5-3216BC0D4EF2}"/>
            </a:ext>
          </a:extLst>
        </xdr:cNvPr>
        <xdr:cNvGrpSpPr/>
      </xdr:nvGrpSpPr>
      <xdr:grpSpPr>
        <a:xfrm>
          <a:off x="4991100" y="19050"/>
          <a:ext cx="2800964" cy="888473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3" name="Rechteck 2">
            <a:extLst>
              <a:ext uri="{FF2B5EF4-FFF2-40B4-BE49-F238E27FC236}">
                <a16:creationId xmlns:a16="http://schemas.microsoft.com/office/drawing/2014/main" id="{EDD17D13-01EA-4243-8A10-9311DA5B348C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" name="Gruppieren 3">
                <a:extLst>
                  <a:ext uri="{FF2B5EF4-FFF2-40B4-BE49-F238E27FC236}">
                    <a16:creationId xmlns:a16="http://schemas.microsoft.com/office/drawing/2014/main" id="{D3C04505-CBC8-A696-CD32-D43300F48C8B}"/>
                  </a:ext>
                </a:extLst>
              </xdr:cNvPr>
              <xdr:cNvGrpSpPr/>
            </xdr:nvGrpSpPr>
            <xdr:grpSpPr>
              <a:xfrm>
                <a:off x="6553200" y="374273"/>
                <a:ext cx="1200149" cy="533405"/>
                <a:chOff x="6553200" y="374273"/>
                <a:chExt cx="1200149" cy="533405"/>
              </a:xfrm>
              <a:grpFill/>
            </xdr:grpSpPr>
            <xdr:sp macro="" textlink="">
              <xdr:nvSpPr>
                <xdr:cNvPr id="27649" name="Option Button 1" hidden="1">
                  <a:extLst>
                    <a:ext uri="{63B3BB69-23CF-44E3-9099-C40C66FF867C}">
                      <a14:compatExt spid="_x0000_s27649"/>
                    </a:ext>
                    <a:ext uri="{FF2B5EF4-FFF2-40B4-BE49-F238E27FC236}">
                      <a16:creationId xmlns:a16="http://schemas.microsoft.com/office/drawing/2014/main" id="{00000000-0008-0000-0E00-0000016C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27650" name="Option Button 2" hidden="1">
                  <a:extLst>
                    <a:ext uri="{63B3BB69-23CF-44E3-9099-C40C66FF867C}">
                      <a14:compatExt spid="_x0000_s27650"/>
                    </a:ext>
                    <a:ext uri="{FF2B5EF4-FFF2-40B4-BE49-F238E27FC236}">
                      <a16:creationId xmlns:a16="http://schemas.microsoft.com/office/drawing/2014/main" id="{00000000-0008-0000-0E00-0000026C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49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27651" name="Option Button 3" hidden="1">
                  <a:extLst>
                    <a:ext uri="{63B3BB69-23CF-44E3-9099-C40C66FF867C}">
                      <a14:compatExt spid="_x0000_s27651"/>
                    </a:ext>
                    <a:ext uri="{FF2B5EF4-FFF2-40B4-BE49-F238E27FC236}">
                      <a16:creationId xmlns:a16="http://schemas.microsoft.com/office/drawing/2014/main" id="{00000000-0008-0000-0E00-0000036C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358775</xdr:colOff>
      <xdr:row>5</xdr:row>
      <xdr:rowOff>13727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11296339-C7DA-4259-9A19-226FAE8B6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0</xdr:row>
      <xdr:rowOff>19050</xdr:rowOff>
    </xdr:from>
    <xdr:to>
      <xdr:col>8</xdr:col>
      <xdr:colOff>695939</xdr:colOff>
      <xdr:row>4</xdr:row>
      <xdr:rowOff>145523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4991100" y="19050"/>
          <a:ext cx="2800964" cy="888473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3" name="Rechteck 2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" name="Gruppieren 3">
                <a:extLst>
                  <a:ext uri="{FF2B5EF4-FFF2-40B4-BE49-F238E27FC236}">
                    <a16:creationId xmlns:a16="http://schemas.microsoft.com/office/drawing/2014/main" id="{00000000-0008-0000-0000-00001C000000}"/>
                  </a:ext>
                </a:extLst>
              </xdr:cNvPr>
              <xdr:cNvGrpSpPr/>
            </xdr:nvGrpSpPr>
            <xdr:grpSpPr>
              <a:xfrm>
                <a:off x="6553200" y="374273"/>
                <a:ext cx="1200149" cy="533405"/>
                <a:chOff x="6553200" y="374273"/>
                <a:chExt cx="1200149" cy="533405"/>
              </a:xfrm>
              <a:grpFill/>
            </xdr:grpSpPr>
            <xdr:sp macro="" textlink="">
              <xdr:nvSpPr>
                <xdr:cNvPr id="49153" name="Option Button 1" hidden="1">
                  <a:extLst>
                    <a:ext uri="{63B3BB69-23CF-44E3-9099-C40C66FF867C}">
                      <a14:compatExt spid="_x0000_s49153"/>
                    </a:ext>
                    <a:ext uri="{FF2B5EF4-FFF2-40B4-BE49-F238E27FC236}">
                      <a16:creationId xmlns:a16="http://schemas.microsoft.com/office/drawing/2014/main" id="{00000000-0008-0000-0100-000001C0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49154" name="Option Button 2" hidden="1">
                  <a:extLst>
                    <a:ext uri="{63B3BB69-23CF-44E3-9099-C40C66FF867C}">
                      <a14:compatExt spid="_x0000_s49154"/>
                    </a:ext>
                    <a:ext uri="{FF2B5EF4-FFF2-40B4-BE49-F238E27FC236}">
                      <a16:creationId xmlns:a16="http://schemas.microsoft.com/office/drawing/2014/main" id="{00000000-0008-0000-0100-000002C0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49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49155" name="Option Button 3" hidden="1">
                  <a:extLst>
                    <a:ext uri="{63B3BB69-23CF-44E3-9099-C40C66FF867C}">
                      <a14:compatExt spid="_x0000_s49155"/>
                    </a:ext>
                    <a:ext uri="{FF2B5EF4-FFF2-40B4-BE49-F238E27FC236}">
                      <a16:creationId xmlns:a16="http://schemas.microsoft.com/office/drawing/2014/main" id="{00000000-0008-0000-0100-000003C0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358775</xdr:colOff>
      <xdr:row>5</xdr:row>
      <xdr:rowOff>13727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0</xdr:row>
      <xdr:rowOff>19050</xdr:rowOff>
    </xdr:from>
    <xdr:to>
      <xdr:col>8</xdr:col>
      <xdr:colOff>695939</xdr:colOff>
      <xdr:row>4</xdr:row>
      <xdr:rowOff>145523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4991100" y="19050"/>
          <a:ext cx="2800964" cy="888473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3" name="Rechteck 2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" name="Gruppieren 3">
                <a:extLst>
                  <a:ext uri="{FF2B5EF4-FFF2-40B4-BE49-F238E27FC236}">
                    <a16:creationId xmlns:a16="http://schemas.microsoft.com/office/drawing/2014/main" id="{00000000-0008-0000-0000-00001C000000}"/>
                  </a:ext>
                </a:extLst>
              </xdr:cNvPr>
              <xdr:cNvGrpSpPr/>
            </xdr:nvGrpSpPr>
            <xdr:grpSpPr>
              <a:xfrm>
                <a:off x="6553200" y="374273"/>
                <a:ext cx="1200149" cy="533405"/>
                <a:chOff x="6553200" y="374273"/>
                <a:chExt cx="1200149" cy="533405"/>
              </a:xfrm>
              <a:grpFill/>
            </xdr:grpSpPr>
            <xdr:sp macro="" textlink="">
              <xdr:nvSpPr>
                <xdr:cNvPr id="35841" name="Option Button 1" hidden="1">
                  <a:extLst>
                    <a:ext uri="{63B3BB69-23CF-44E3-9099-C40C66FF867C}">
                      <a14:compatExt spid="_x0000_s35841"/>
                    </a:ext>
                    <a:ext uri="{FF2B5EF4-FFF2-40B4-BE49-F238E27FC236}">
                      <a16:creationId xmlns:a16="http://schemas.microsoft.com/office/drawing/2014/main" id="{00000000-0008-0000-0200-0000018C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35842" name="Option Button 2" hidden="1">
                  <a:extLst>
                    <a:ext uri="{63B3BB69-23CF-44E3-9099-C40C66FF867C}">
                      <a14:compatExt spid="_x0000_s35842"/>
                    </a:ext>
                    <a:ext uri="{FF2B5EF4-FFF2-40B4-BE49-F238E27FC236}">
                      <a16:creationId xmlns:a16="http://schemas.microsoft.com/office/drawing/2014/main" id="{00000000-0008-0000-0200-0000028C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49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35843" name="Option Button 3" hidden="1">
                  <a:extLst>
                    <a:ext uri="{63B3BB69-23CF-44E3-9099-C40C66FF867C}">
                      <a14:compatExt spid="_x0000_s35843"/>
                    </a:ext>
                    <a:ext uri="{FF2B5EF4-FFF2-40B4-BE49-F238E27FC236}">
                      <a16:creationId xmlns:a16="http://schemas.microsoft.com/office/drawing/2014/main" id="{00000000-0008-0000-0200-0000038C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358775</xdr:colOff>
      <xdr:row>5</xdr:row>
      <xdr:rowOff>13727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0</xdr:row>
      <xdr:rowOff>19050</xdr:rowOff>
    </xdr:from>
    <xdr:to>
      <xdr:col>8</xdr:col>
      <xdr:colOff>695939</xdr:colOff>
      <xdr:row>4</xdr:row>
      <xdr:rowOff>145523</xdr:rowOff>
    </xdr:to>
    <xdr:grpSp>
      <xdr:nvGrpSpPr>
        <xdr:cNvPr id="26" name="Gruppier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4991100" y="19050"/>
          <a:ext cx="2800964" cy="888473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27" name="Rechteck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28" name="Gruppieren 27">
                <a:extLst>
                  <a:ext uri="{FF2B5EF4-FFF2-40B4-BE49-F238E27FC236}">
                    <a16:creationId xmlns:a16="http://schemas.microsoft.com/office/drawing/2014/main" id="{00000000-0008-0000-0000-00001C000000}"/>
                  </a:ext>
                </a:extLst>
              </xdr:cNvPr>
              <xdr:cNvGrpSpPr/>
            </xdr:nvGrpSpPr>
            <xdr:grpSpPr>
              <a:xfrm>
                <a:off x="6553200" y="374273"/>
                <a:ext cx="1200149" cy="533405"/>
                <a:chOff x="6553200" y="374273"/>
                <a:chExt cx="1200149" cy="533405"/>
              </a:xfrm>
              <a:grpFill/>
            </xdr:grpSpPr>
            <xdr:sp macro="" textlink="">
              <xdr:nvSpPr>
                <xdr:cNvPr id="1034" name="Option Button 10" hidden="1">
                  <a:extLst>
                    <a:ext uri="{63B3BB69-23CF-44E3-9099-C40C66FF867C}">
                      <a14:compatExt spid="_x0000_s1034"/>
                    </a:ext>
                    <a:ext uri="{FF2B5EF4-FFF2-40B4-BE49-F238E27FC236}">
                      <a16:creationId xmlns:a16="http://schemas.microsoft.com/office/drawing/2014/main" id="{00000000-0008-0000-0300-00000A04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1035" name="Option Button 11" hidden="1">
                  <a:extLst>
                    <a:ext uri="{63B3BB69-23CF-44E3-9099-C40C66FF867C}">
                      <a14:compatExt spid="_x0000_s1035"/>
                    </a:ext>
                    <a:ext uri="{FF2B5EF4-FFF2-40B4-BE49-F238E27FC236}">
                      <a16:creationId xmlns:a16="http://schemas.microsoft.com/office/drawing/2014/main" id="{00000000-0008-0000-0300-00000B04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49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1036" name="Option Button 12" hidden="1">
                  <a:extLst>
                    <a:ext uri="{63B3BB69-23CF-44E3-9099-C40C66FF867C}">
                      <a14:compatExt spid="_x0000_s1036"/>
                    </a:ext>
                    <a:ext uri="{FF2B5EF4-FFF2-40B4-BE49-F238E27FC236}">
                      <a16:creationId xmlns:a16="http://schemas.microsoft.com/office/drawing/2014/main" id="{00000000-0008-0000-0300-00000C04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358775</xdr:colOff>
      <xdr:row>5</xdr:row>
      <xdr:rowOff>13727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0</xdr:row>
      <xdr:rowOff>19050</xdr:rowOff>
    </xdr:from>
    <xdr:to>
      <xdr:col>8</xdr:col>
      <xdr:colOff>695939</xdr:colOff>
      <xdr:row>4</xdr:row>
      <xdr:rowOff>145523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E185D5DD-71D3-4ADD-B82B-9732B501EA1F}"/>
            </a:ext>
          </a:extLst>
        </xdr:cNvPr>
        <xdr:cNvGrpSpPr/>
      </xdr:nvGrpSpPr>
      <xdr:grpSpPr>
        <a:xfrm>
          <a:off x="4991100" y="19050"/>
          <a:ext cx="2800964" cy="888473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3" name="Rechteck 2">
            <a:extLst>
              <a:ext uri="{FF2B5EF4-FFF2-40B4-BE49-F238E27FC236}">
                <a16:creationId xmlns:a16="http://schemas.microsoft.com/office/drawing/2014/main" id="{C0619647-6AC2-31C0-0B28-39DBCEE6A3BF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" name="Gruppieren 3">
                <a:extLst>
                  <a:ext uri="{FF2B5EF4-FFF2-40B4-BE49-F238E27FC236}">
                    <a16:creationId xmlns:a16="http://schemas.microsoft.com/office/drawing/2014/main" id="{5D4BBB81-1E7D-B330-069A-1B32DB92A385}"/>
                  </a:ext>
                </a:extLst>
              </xdr:cNvPr>
              <xdr:cNvGrpSpPr/>
            </xdr:nvGrpSpPr>
            <xdr:grpSpPr>
              <a:xfrm>
                <a:off x="6553200" y="374273"/>
                <a:ext cx="1200149" cy="533405"/>
                <a:chOff x="6553200" y="374273"/>
                <a:chExt cx="1200149" cy="533405"/>
              </a:xfrm>
              <a:grpFill/>
            </xdr:grpSpPr>
            <xdr:sp macro="" textlink="">
              <xdr:nvSpPr>
                <xdr:cNvPr id="13313" name="Option Button 1" hidden="1">
                  <a:extLst>
                    <a:ext uri="{63B3BB69-23CF-44E3-9099-C40C66FF867C}">
                      <a14:compatExt spid="_x0000_s13313"/>
                    </a:ext>
                    <a:ext uri="{FF2B5EF4-FFF2-40B4-BE49-F238E27FC236}">
                      <a16:creationId xmlns:a16="http://schemas.microsoft.com/office/drawing/2014/main" id="{00000000-0008-0000-0400-00000134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13314" name="Option Button 2" hidden="1">
                  <a:extLst>
                    <a:ext uri="{63B3BB69-23CF-44E3-9099-C40C66FF867C}">
                      <a14:compatExt spid="_x0000_s13314"/>
                    </a:ext>
                    <a:ext uri="{FF2B5EF4-FFF2-40B4-BE49-F238E27FC236}">
                      <a16:creationId xmlns:a16="http://schemas.microsoft.com/office/drawing/2014/main" id="{00000000-0008-0000-0400-00000234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49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13315" name="Option Button 3" hidden="1">
                  <a:extLst>
                    <a:ext uri="{63B3BB69-23CF-44E3-9099-C40C66FF867C}">
                      <a14:compatExt spid="_x0000_s13315"/>
                    </a:ext>
                    <a:ext uri="{FF2B5EF4-FFF2-40B4-BE49-F238E27FC236}">
                      <a16:creationId xmlns:a16="http://schemas.microsoft.com/office/drawing/2014/main" id="{00000000-0008-0000-0400-00000334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358775</xdr:colOff>
      <xdr:row>5</xdr:row>
      <xdr:rowOff>13727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0B771FC-7A5F-4E09-BC94-B98A1AF8D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0</xdr:row>
      <xdr:rowOff>19050</xdr:rowOff>
    </xdr:from>
    <xdr:to>
      <xdr:col>8</xdr:col>
      <xdr:colOff>695939</xdr:colOff>
      <xdr:row>4</xdr:row>
      <xdr:rowOff>145523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C4FD3365-9C2A-492F-B324-B78D38241422}"/>
            </a:ext>
          </a:extLst>
        </xdr:cNvPr>
        <xdr:cNvGrpSpPr/>
      </xdr:nvGrpSpPr>
      <xdr:grpSpPr>
        <a:xfrm>
          <a:off x="4991100" y="19050"/>
          <a:ext cx="2800964" cy="888473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3" name="Rechteck 2">
            <a:extLst>
              <a:ext uri="{FF2B5EF4-FFF2-40B4-BE49-F238E27FC236}">
                <a16:creationId xmlns:a16="http://schemas.microsoft.com/office/drawing/2014/main" id="{F447EE7F-BD93-2D36-702C-2B924DA5680E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" name="Gruppieren 3">
                <a:extLst>
                  <a:ext uri="{FF2B5EF4-FFF2-40B4-BE49-F238E27FC236}">
                    <a16:creationId xmlns:a16="http://schemas.microsoft.com/office/drawing/2014/main" id="{53E345B5-88BD-1285-9915-40EEAE9FF27D}"/>
                  </a:ext>
                </a:extLst>
              </xdr:cNvPr>
              <xdr:cNvGrpSpPr/>
            </xdr:nvGrpSpPr>
            <xdr:grpSpPr>
              <a:xfrm>
                <a:off x="6553200" y="374273"/>
                <a:ext cx="1200149" cy="533405"/>
                <a:chOff x="6553200" y="374273"/>
                <a:chExt cx="1200149" cy="533405"/>
              </a:xfrm>
              <a:grpFill/>
            </xdr:grpSpPr>
            <xdr:sp macro="" textlink="">
              <xdr:nvSpPr>
                <xdr:cNvPr id="21505" name="Option Button 1" hidden="1">
                  <a:extLst>
                    <a:ext uri="{63B3BB69-23CF-44E3-9099-C40C66FF867C}">
                      <a14:compatExt spid="_x0000_s21505"/>
                    </a:ext>
                    <a:ext uri="{FF2B5EF4-FFF2-40B4-BE49-F238E27FC236}">
                      <a16:creationId xmlns:a16="http://schemas.microsoft.com/office/drawing/2014/main" id="{00000000-0008-0000-0500-00000154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21506" name="Option Button 2" hidden="1">
                  <a:extLst>
                    <a:ext uri="{63B3BB69-23CF-44E3-9099-C40C66FF867C}">
                      <a14:compatExt spid="_x0000_s21506"/>
                    </a:ext>
                    <a:ext uri="{FF2B5EF4-FFF2-40B4-BE49-F238E27FC236}">
                      <a16:creationId xmlns:a16="http://schemas.microsoft.com/office/drawing/2014/main" id="{00000000-0008-0000-0500-00000254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49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21507" name="Option Button 3" hidden="1">
                  <a:extLst>
                    <a:ext uri="{63B3BB69-23CF-44E3-9099-C40C66FF867C}">
                      <a14:compatExt spid="_x0000_s21507"/>
                    </a:ext>
                    <a:ext uri="{FF2B5EF4-FFF2-40B4-BE49-F238E27FC236}">
                      <a16:creationId xmlns:a16="http://schemas.microsoft.com/office/drawing/2014/main" id="{00000000-0008-0000-0500-00000354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358775</xdr:colOff>
      <xdr:row>5</xdr:row>
      <xdr:rowOff>13727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C952F208-5589-4719-BD43-7D7DB3B7E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0</xdr:row>
      <xdr:rowOff>19050</xdr:rowOff>
    </xdr:from>
    <xdr:to>
      <xdr:col>8</xdr:col>
      <xdr:colOff>695939</xdr:colOff>
      <xdr:row>4</xdr:row>
      <xdr:rowOff>145523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99F7CB9A-04D8-496E-B9D8-A62EF6E27FB8}"/>
            </a:ext>
          </a:extLst>
        </xdr:cNvPr>
        <xdr:cNvGrpSpPr/>
      </xdr:nvGrpSpPr>
      <xdr:grpSpPr>
        <a:xfrm>
          <a:off x="4991100" y="19050"/>
          <a:ext cx="2800964" cy="888473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3" name="Rechteck 2">
            <a:extLst>
              <a:ext uri="{FF2B5EF4-FFF2-40B4-BE49-F238E27FC236}">
                <a16:creationId xmlns:a16="http://schemas.microsoft.com/office/drawing/2014/main" id="{C973E3CA-18DC-37D8-3EC6-0EFBAD745ADB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" name="Gruppieren 3">
                <a:extLst>
                  <a:ext uri="{FF2B5EF4-FFF2-40B4-BE49-F238E27FC236}">
                    <a16:creationId xmlns:a16="http://schemas.microsoft.com/office/drawing/2014/main" id="{FD24AEB8-F9DE-9271-DC17-66C1D0DC9477}"/>
                  </a:ext>
                </a:extLst>
              </xdr:cNvPr>
              <xdr:cNvGrpSpPr/>
            </xdr:nvGrpSpPr>
            <xdr:grpSpPr>
              <a:xfrm>
                <a:off x="6553200" y="374273"/>
                <a:ext cx="1200149" cy="533405"/>
                <a:chOff x="6553200" y="374273"/>
                <a:chExt cx="1200149" cy="533405"/>
              </a:xfrm>
              <a:grpFill/>
            </xdr:grpSpPr>
            <xdr:sp macro="" textlink="">
              <xdr:nvSpPr>
                <xdr:cNvPr id="23553" name="Option Button 1" hidden="1">
                  <a:extLst>
                    <a:ext uri="{63B3BB69-23CF-44E3-9099-C40C66FF867C}">
                      <a14:compatExt spid="_x0000_s23553"/>
                    </a:ext>
                    <a:ext uri="{FF2B5EF4-FFF2-40B4-BE49-F238E27FC236}">
                      <a16:creationId xmlns:a16="http://schemas.microsoft.com/office/drawing/2014/main" id="{00000000-0008-0000-0600-0000015C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23554" name="Option Button 2" hidden="1">
                  <a:extLst>
                    <a:ext uri="{63B3BB69-23CF-44E3-9099-C40C66FF867C}">
                      <a14:compatExt spid="_x0000_s23554"/>
                    </a:ext>
                    <a:ext uri="{FF2B5EF4-FFF2-40B4-BE49-F238E27FC236}">
                      <a16:creationId xmlns:a16="http://schemas.microsoft.com/office/drawing/2014/main" id="{00000000-0008-0000-0600-0000025C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49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23555" name="Option Button 3" hidden="1">
                  <a:extLst>
                    <a:ext uri="{63B3BB69-23CF-44E3-9099-C40C66FF867C}">
                      <a14:compatExt spid="_x0000_s23555"/>
                    </a:ext>
                    <a:ext uri="{FF2B5EF4-FFF2-40B4-BE49-F238E27FC236}">
                      <a16:creationId xmlns:a16="http://schemas.microsoft.com/office/drawing/2014/main" id="{00000000-0008-0000-0600-0000035C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358775</xdr:colOff>
      <xdr:row>5</xdr:row>
      <xdr:rowOff>13727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C6433111-7A0C-4337-9EC5-37CC9EF7B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0</xdr:row>
      <xdr:rowOff>19050</xdr:rowOff>
    </xdr:from>
    <xdr:to>
      <xdr:col>8</xdr:col>
      <xdr:colOff>695939</xdr:colOff>
      <xdr:row>4</xdr:row>
      <xdr:rowOff>145523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2475CBC4-6C6D-429F-B099-D011D6DEBD38}"/>
            </a:ext>
          </a:extLst>
        </xdr:cNvPr>
        <xdr:cNvGrpSpPr/>
      </xdr:nvGrpSpPr>
      <xdr:grpSpPr>
        <a:xfrm>
          <a:off x="4991100" y="19050"/>
          <a:ext cx="2800964" cy="888473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3" name="Rechteck 2">
            <a:extLst>
              <a:ext uri="{FF2B5EF4-FFF2-40B4-BE49-F238E27FC236}">
                <a16:creationId xmlns:a16="http://schemas.microsoft.com/office/drawing/2014/main" id="{EC635BA4-4C56-D0A8-40F0-1A1F46416297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" name="Gruppieren 3">
                <a:extLst>
                  <a:ext uri="{FF2B5EF4-FFF2-40B4-BE49-F238E27FC236}">
                    <a16:creationId xmlns:a16="http://schemas.microsoft.com/office/drawing/2014/main" id="{27B7B9C6-DB2F-ED0C-3FAD-C5CA7555C9BC}"/>
                  </a:ext>
                </a:extLst>
              </xdr:cNvPr>
              <xdr:cNvGrpSpPr/>
            </xdr:nvGrpSpPr>
            <xdr:grpSpPr>
              <a:xfrm>
                <a:off x="6553200" y="374273"/>
                <a:ext cx="1200149" cy="533405"/>
                <a:chOff x="6553200" y="374273"/>
                <a:chExt cx="1200149" cy="533405"/>
              </a:xfrm>
              <a:grpFill/>
            </xdr:grpSpPr>
            <xdr:sp macro="" textlink="">
              <xdr:nvSpPr>
                <xdr:cNvPr id="22529" name="Option Button 1" hidden="1">
                  <a:extLst>
                    <a:ext uri="{63B3BB69-23CF-44E3-9099-C40C66FF867C}">
                      <a14:compatExt spid="_x0000_s22529"/>
                    </a:ext>
                    <a:ext uri="{FF2B5EF4-FFF2-40B4-BE49-F238E27FC236}">
                      <a16:creationId xmlns:a16="http://schemas.microsoft.com/office/drawing/2014/main" id="{00000000-0008-0000-0700-00000158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22530" name="Option Button 2" hidden="1">
                  <a:extLst>
                    <a:ext uri="{63B3BB69-23CF-44E3-9099-C40C66FF867C}">
                      <a14:compatExt spid="_x0000_s22530"/>
                    </a:ext>
                    <a:ext uri="{FF2B5EF4-FFF2-40B4-BE49-F238E27FC236}">
                      <a16:creationId xmlns:a16="http://schemas.microsoft.com/office/drawing/2014/main" id="{00000000-0008-0000-0700-00000258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49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22531" name="Option Button 3" hidden="1">
                  <a:extLst>
                    <a:ext uri="{63B3BB69-23CF-44E3-9099-C40C66FF867C}">
                      <a14:compatExt spid="_x0000_s22531"/>
                    </a:ext>
                    <a:ext uri="{FF2B5EF4-FFF2-40B4-BE49-F238E27FC236}">
                      <a16:creationId xmlns:a16="http://schemas.microsoft.com/office/drawing/2014/main" id="{00000000-0008-0000-0700-00000358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358775</xdr:colOff>
      <xdr:row>5</xdr:row>
      <xdr:rowOff>13727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61EDAB03-6403-4984-AABB-C652784F0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0</xdr:row>
      <xdr:rowOff>19050</xdr:rowOff>
    </xdr:from>
    <xdr:to>
      <xdr:col>8</xdr:col>
      <xdr:colOff>695939</xdr:colOff>
      <xdr:row>4</xdr:row>
      <xdr:rowOff>145523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1592AD25-FF50-4F65-8754-822DFE51292F}"/>
            </a:ext>
          </a:extLst>
        </xdr:cNvPr>
        <xdr:cNvGrpSpPr/>
      </xdr:nvGrpSpPr>
      <xdr:grpSpPr>
        <a:xfrm>
          <a:off x="4991100" y="19050"/>
          <a:ext cx="2800964" cy="888473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3" name="Rechteck 2">
            <a:extLst>
              <a:ext uri="{FF2B5EF4-FFF2-40B4-BE49-F238E27FC236}">
                <a16:creationId xmlns:a16="http://schemas.microsoft.com/office/drawing/2014/main" id="{FE719456-197E-912A-A73D-5BC6B23CE3AA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" name="Gruppieren 3">
                <a:extLst>
                  <a:ext uri="{FF2B5EF4-FFF2-40B4-BE49-F238E27FC236}">
                    <a16:creationId xmlns:a16="http://schemas.microsoft.com/office/drawing/2014/main" id="{7DC23646-6CA0-31CC-8704-F1C27DF7F01C}"/>
                  </a:ext>
                </a:extLst>
              </xdr:cNvPr>
              <xdr:cNvGrpSpPr/>
            </xdr:nvGrpSpPr>
            <xdr:grpSpPr>
              <a:xfrm>
                <a:off x="6553200" y="374273"/>
                <a:ext cx="1200149" cy="533405"/>
                <a:chOff x="6553200" y="374273"/>
                <a:chExt cx="1200149" cy="533405"/>
              </a:xfrm>
              <a:grpFill/>
            </xdr:grpSpPr>
            <xdr:sp macro="" textlink="">
              <xdr:nvSpPr>
                <xdr:cNvPr id="26625" name="Option Button 1" hidden="1">
                  <a:extLst>
                    <a:ext uri="{63B3BB69-23CF-44E3-9099-C40C66FF867C}">
                      <a14:compatExt spid="_x0000_s26625"/>
                    </a:ext>
                    <a:ext uri="{FF2B5EF4-FFF2-40B4-BE49-F238E27FC236}">
                      <a16:creationId xmlns:a16="http://schemas.microsoft.com/office/drawing/2014/main" id="{00000000-0008-0000-0800-00000168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26626" name="Option Button 2" hidden="1">
                  <a:extLst>
                    <a:ext uri="{63B3BB69-23CF-44E3-9099-C40C66FF867C}">
                      <a14:compatExt spid="_x0000_s26626"/>
                    </a:ext>
                    <a:ext uri="{FF2B5EF4-FFF2-40B4-BE49-F238E27FC236}">
                      <a16:creationId xmlns:a16="http://schemas.microsoft.com/office/drawing/2014/main" id="{00000000-0008-0000-0800-00000268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49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26627" name="Option Button 3" hidden="1">
                  <a:extLst>
                    <a:ext uri="{63B3BB69-23CF-44E3-9099-C40C66FF867C}">
                      <a14:compatExt spid="_x0000_s26627"/>
                    </a:ext>
                    <a:ext uri="{FF2B5EF4-FFF2-40B4-BE49-F238E27FC236}">
                      <a16:creationId xmlns:a16="http://schemas.microsoft.com/office/drawing/2014/main" id="{00000000-0008-0000-0800-00000368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358775</xdr:colOff>
      <xdr:row>5</xdr:row>
      <xdr:rowOff>13727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D15580FF-4ED0-4A07-929A-E4AB45A76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30.xml"/><Relationship Id="rId5" Type="http://schemas.openxmlformats.org/officeDocument/2006/relationships/ctrlProp" Target="../ctrlProps/ctrlProp29.xml"/><Relationship Id="rId4" Type="http://schemas.openxmlformats.org/officeDocument/2006/relationships/ctrlProp" Target="../ctrlProps/ctrlProp2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33.xml"/><Relationship Id="rId5" Type="http://schemas.openxmlformats.org/officeDocument/2006/relationships/ctrlProp" Target="../ctrlProps/ctrlProp32.xml"/><Relationship Id="rId4" Type="http://schemas.openxmlformats.org/officeDocument/2006/relationships/ctrlProp" Target="../ctrlProps/ctrlProp3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36.xml"/><Relationship Id="rId5" Type="http://schemas.openxmlformats.org/officeDocument/2006/relationships/ctrlProp" Target="../ctrlProps/ctrlProp35.xml"/><Relationship Id="rId4" Type="http://schemas.openxmlformats.org/officeDocument/2006/relationships/ctrlProp" Target="../ctrlProps/ctrlProp3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39.xml"/><Relationship Id="rId5" Type="http://schemas.openxmlformats.org/officeDocument/2006/relationships/ctrlProp" Target="../ctrlProps/ctrlProp38.xml"/><Relationship Id="rId4" Type="http://schemas.openxmlformats.org/officeDocument/2006/relationships/ctrlProp" Target="../ctrlProps/ctrlProp3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42.xml"/><Relationship Id="rId5" Type="http://schemas.openxmlformats.org/officeDocument/2006/relationships/ctrlProp" Target="../ctrlProps/ctrlProp41.xml"/><Relationship Id="rId4" Type="http://schemas.openxmlformats.org/officeDocument/2006/relationships/ctrlProp" Target="../ctrlProps/ctrlProp40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45.xml"/><Relationship Id="rId5" Type="http://schemas.openxmlformats.org/officeDocument/2006/relationships/ctrlProp" Target="../ctrlProps/ctrlProp44.xml"/><Relationship Id="rId4" Type="http://schemas.openxmlformats.org/officeDocument/2006/relationships/ctrlProp" Target="../ctrlProps/ctrlProp4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4.xml"/><Relationship Id="rId5" Type="http://schemas.openxmlformats.org/officeDocument/2006/relationships/ctrlProp" Target="../ctrlProps/ctrlProp23.xml"/><Relationship Id="rId4" Type="http://schemas.openxmlformats.org/officeDocument/2006/relationships/ctrlProp" Target="../ctrlProps/ctrlProp2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7.xml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776B2-E696-4679-BD87-9534CA18D925}">
  <dimension ref="A1:R56"/>
  <sheetViews>
    <sheetView showGridLines="0" tabSelected="1" workbookViewId="0"/>
  </sheetViews>
  <sheetFormatPr baseColWidth="10" defaultColWidth="9.140625" defaultRowHeight="14.25" x14ac:dyDescent="0.2"/>
  <cols>
    <col min="1" max="1" width="22.7109375" style="53" customWidth="1"/>
    <col min="2" max="2" width="9.140625" style="53" customWidth="1"/>
    <col min="3" max="18" width="12.42578125" style="53" customWidth="1"/>
    <col min="19" max="16384" width="9.140625" style="77"/>
  </cols>
  <sheetData>
    <row r="1" spans="1:18" s="75" customFormat="1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75" customFormat="1" ht="15.75" x14ac:dyDescent="0.25">
      <c r="A2" s="1"/>
      <c r="B2" s="15"/>
      <c r="C2" s="53"/>
      <c r="D2" s="5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75" customFormat="1" ht="15.75" x14ac:dyDescent="0.25">
      <c r="A3" s="1"/>
      <c r="B3" s="15"/>
      <c r="C3" s="53"/>
      <c r="D3" s="5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s="75" customFormat="1" ht="15.75" x14ac:dyDescent="0.25">
      <c r="A4" s="1"/>
      <c r="B4" s="15"/>
      <c r="C4" s="53"/>
      <c r="D4" s="5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75" customFormat="1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s="75" customFormat="1" ht="12.7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s="75" customFormat="1" ht="15.75" customHeight="1" x14ac:dyDescent="0.2">
      <c r="A7" s="146" t="str">
        <f>VLOOKUP("&lt;Fachbereich&gt;",Uebersetzungen!$B$3:$E$63,Uebersetzungen!$B$2+1,FALSE)</f>
        <v>Daten &amp; Statistik</v>
      </c>
      <c r="B7" s="146"/>
      <c r="C7" s="146"/>
      <c r="D7" s="146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</row>
    <row r="8" spans="1:18" s="75" customFormat="1" ht="12.7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s="76" customFormat="1" ht="18" x14ac:dyDescent="0.2">
      <c r="A9" s="19" t="str">
        <f>VLOOKUP("&lt;Titel&gt;",Uebersetzungen!$B$3:$E$63,Uebersetzungen!$B$2+1,FALSE)</f>
        <v>Religionszugehörigkeit nach Kanton</v>
      </c>
      <c r="B9" s="54"/>
      <c r="C9" s="55"/>
      <c r="D9" s="55"/>
      <c r="E9" s="55"/>
      <c r="F9" s="55"/>
      <c r="G9" s="55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s="76" customFormat="1" ht="12.75" x14ac:dyDescent="0.2">
      <c r="A10" s="20" t="str">
        <f>VLOOKUP("&lt;UTitel&gt;",Uebersetzungen!$B$3:$E$63,Uebersetzungen!$B$2+1,FALSE)</f>
        <v>Ständige Wohnbevölkerung ab 15 Jahren</v>
      </c>
      <c r="B10" s="54"/>
      <c r="C10" s="55"/>
      <c r="D10" s="55"/>
      <c r="E10" s="55"/>
      <c r="F10" s="55"/>
      <c r="G10" s="5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8.75" thickBot="1" x14ac:dyDescent="0.3">
      <c r="B11" s="17"/>
      <c r="C11" s="18"/>
      <c r="D11" s="4"/>
      <c r="E11" s="4"/>
      <c r="F11" s="4"/>
      <c r="G11" s="4"/>
      <c r="H11" s="4"/>
      <c r="I11" s="4"/>
      <c r="J11" s="4"/>
    </row>
    <row r="12" spans="1:18" s="78" customFormat="1" ht="18.75" thickBot="1" x14ac:dyDescent="0.3">
      <c r="A12" s="3"/>
      <c r="B12" s="147">
        <v>2024</v>
      </c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9"/>
    </row>
    <row r="13" spans="1:18" s="78" customFormat="1" ht="37.5" customHeight="1" x14ac:dyDescent="0.25">
      <c r="A13" s="3"/>
      <c r="B13" s="150" t="str">
        <f>VLOOKUP("&lt;SpaltenTitel_1&gt;",Uebersetzungen!$B$3:$E$63,Uebersetzungen!$B$2+1,FALSE)</f>
        <v>Total</v>
      </c>
      <c r="C13" s="144" t="str">
        <f>VLOOKUP("&lt;SpaltenTitel_2&gt;",Uebersetzungen!$B$3:$E$63,Uebersetzungen!$B$2+1,FALSE)</f>
        <v>Evangelisch-reformiert</v>
      </c>
      <c r="D13" s="144"/>
      <c r="E13" s="144" t="str">
        <f>VLOOKUP("&lt;SpaltenTitel_3&gt;",Uebersetzungen!$B$3:$E$63,Uebersetzungen!$B$2+1,FALSE)</f>
        <v>Römisch-katholisch</v>
      </c>
      <c r="F13" s="144"/>
      <c r="G13" s="144" t="str">
        <f>VLOOKUP("&lt;SpaltenTitel_4&gt;",Uebersetzungen!$B$3:$E$63,Uebersetzungen!$B$2+1,FALSE)</f>
        <v>Andere christliche Glaubensgemeinschaften</v>
      </c>
      <c r="H13" s="144"/>
      <c r="I13" s="144" t="str">
        <f>VLOOKUP("&lt;SpaltenTitel_5&gt;",Uebersetzungen!$B$3:$E$63,Uebersetzungen!$B$2+1,FALSE)</f>
        <v>Jüdische Glaubensgemeinschaften</v>
      </c>
      <c r="J13" s="144"/>
      <c r="K13" s="144" t="str">
        <f>VLOOKUP("&lt;SpaltenTitel_6&gt;",Uebersetzungen!$B$3:$E$63,Uebersetzungen!$B$2+1,FALSE)</f>
        <v>Islamische Glaubensgem.*</v>
      </c>
      <c r="L13" s="144"/>
      <c r="M13" s="144" t="str">
        <f>VLOOKUP("&lt;SpaltenTitel_7&gt;",Uebersetzungen!$B$3:$E$63,Uebersetzungen!$B$2+1,FALSE)</f>
        <v>Andere Religionsgemeinschaften</v>
      </c>
      <c r="N13" s="144"/>
      <c r="O13" s="144" t="str">
        <f>VLOOKUP("&lt;SpaltenTitel_8&gt;",Uebersetzungen!$B$3:$E$63,Uebersetzungen!$B$2+1,FALSE)</f>
        <v>Ohne Religionszugehörigkeit</v>
      </c>
      <c r="P13" s="144"/>
      <c r="Q13" s="144" t="str">
        <f>VLOOKUP("&lt;SpaltenTitel_9&gt;",Uebersetzungen!$B$3:$E$63,Uebersetzungen!$B$2+1,FALSE)</f>
        <v>Religionszugehörigkeit unbekannt</v>
      </c>
      <c r="R13" s="145"/>
    </row>
    <row r="14" spans="1:18" s="78" customFormat="1" ht="39" thickBot="1" x14ac:dyDescent="0.3">
      <c r="A14" s="6"/>
      <c r="B14" s="151"/>
      <c r="C14" s="93" t="str">
        <f>VLOOKUP("&lt;SpaltenTitel_2.1&gt;",Uebersetzungen!$B$3:$E$63,Uebersetzungen!$B$2+1,FALSE)</f>
        <v>Anzahl Personen</v>
      </c>
      <c r="D14" s="94" t="str">
        <f>VLOOKUP("&lt;SpaltenTitel_2.2&gt;",Uebersetzungen!$B$3:$E$63,Uebersetzungen!$B$2+1,FALSE)</f>
        <v>Vertrauens- intervall:          ± (in %)</v>
      </c>
      <c r="E14" s="97" t="str">
        <f>VLOOKUP("&lt;SpaltenTitel_2.1&gt;",Uebersetzungen!$B$3:$E$63,Uebersetzungen!$B$2+1,FALSE)</f>
        <v>Anzahl Personen</v>
      </c>
      <c r="F14" s="94" t="str">
        <f>VLOOKUP("&lt;SpaltenTitel_2.2&gt;",Uebersetzungen!$B$3:$E$63,Uebersetzungen!$B$2+1,FALSE)</f>
        <v>Vertrauens- intervall:          ± (in %)</v>
      </c>
      <c r="G14" s="93" t="str">
        <f>VLOOKUP("&lt;SpaltenTitel_2.1&gt;",Uebersetzungen!$B$3:$E$63,Uebersetzungen!$B$2+1,FALSE)</f>
        <v>Anzahl Personen</v>
      </c>
      <c r="H14" s="97" t="str">
        <f>VLOOKUP("&lt;SpaltenTitel_2.2&gt;",Uebersetzungen!$B$3:$E$63,Uebersetzungen!$B$2+1,FALSE)</f>
        <v>Vertrauens- intervall:          ± (in %)</v>
      </c>
      <c r="I14" s="93" t="str">
        <f>VLOOKUP("&lt;SpaltenTitel_2.1&gt;",Uebersetzungen!$B$3:$E$63,Uebersetzungen!$B$2+1,FALSE)</f>
        <v>Anzahl Personen</v>
      </c>
      <c r="J14" s="94" t="str">
        <f>VLOOKUP("&lt;SpaltenTitel_2.2&gt;",Uebersetzungen!$B$3:$E$63,Uebersetzungen!$B$2+1,FALSE)</f>
        <v>Vertrauens- intervall:          ± (in %)</v>
      </c>
      <c r="K14" s="97" t="str">
        <f>VLOOKUP("&lt;SpaltenTitel_2.1&gt;",Uebersetzungen!$B$3:$E$63,Uebersetzungen!$B$2+1,FALSE)</f>
        <v>Anzahl Personen</v>
      </c>
      <c r="L14" s="94" t="str">
        <f>VLOOKUP("&lt;SpaltenTitel_2.2&gt;",Uebersetzungen!$B$3:$E$63,Uebersetzungen!$B$2+1,FALSE)</f>
        <v>Vertrauens- intervall:          ± (in %)</v>
      </c>
      <c r="M14" s="93" t="str">
        <f>VLOOKUP("&lt;SpaltenTitel_2.1&gt;",Uebersetzungen!$B$3:$E$63,Uebersetzungen!$B$2+1,FALSE)</f>
        <v>Anzahl Personen</v>
      </c>
      <c r="N14" s="97" t="str">
        <f>VLOOKUP("&lt;SpaltenTitel_2.2&gt;",Uebersetzungen!$B$3:$E$63,Uebersetzungen!$B$2+1,FALSE)</f>
        <v>Vertrauens- intervall:          ± (in %)</v>
      </c>
      <c r="O14" s="93" t="str">
        <f>VLOOKUP("&lt;SpaltenTitel_2.1&gt;",Uebersetzungen!$B$3:$E$63,Uebersetzungen!$B$2+1,FALSE)</f>
        <v>Anzahl Personen</v>
      </c>
      <c r="P14" s="94" t="str">
        <f>VLOOKUP("&lt;SpaltenTitel_2.2&gt;",Uebersetzungen!$B$3:$E$63,Uebersetzungen!$B$2+1,FALSE)</f>
        <v>Vertrauens- intervall:          ± (in %)</v>
      </c>
      <c r="Q14" s="93" t="str">
        <f>VLOOKUP("&lt;SpaltenTitel_2.1&gt;",Uebersetzungen!$B$3:$E$63,Uebersetzungen!$B$2+1,FALSE)</f>
        <v>Anzahl Personen</v>
      </c>
      <c r="R14" s="101" t="str">
        <f>VLOOKUP("&lt;SpaltenTitel_2.2&gt;",Uebersetzungen!$B$3:$E$63,Uebersetzungen!$B$2+1,FALSE)</f>
        <v>Vertrauens- intervall:          ± (in %)</v>
      </c>
    </row>
    <row r="15" spans="1:18" s="76" customFormat="1" ht="12.75" x14ac:dyDescent="0.2">
      <c r="A15" s="14" t="str">
        <f>VLOOKUP("&lt;Zeilentitel_1&gt;",Uebersetzungen!$B$3:$E$63,Uebersetzungen!$B$2+1,FALSE)</f>
        <v>Total</v>
      </c>
      <c r="B15" s="92">
        <v>7507509.0000000205</v>
      </c>
      <c r="C15" s="21">
        <v>1406961.9568895632</v>
      </c>
      <c r="D15" s="22">
        <v>0.77596142678651292</v>
      </c>
      <c r="E15" s="23">
        <v>2251949.7371254871</v>
      </c>
      <c r="F15" s="22">
        <v>0.5579384011789289</v>
      </c>
      <c r="G15" s="24">
        <v>450387.39620055072</v>
      </c>
      <c r="H15" s="25">
        <v>1.5764052669390951</v>
      </c>
      <c r="I15" s="24">
        <v>16066.120701142427</v>
      </c>
      <c r="J15" s="22">
        <v>8.3797519866538419</v>
      </c>
      <c r="K15" s="26">
        <v>452387.94646160846</v>
      </c>
      <c r="L15" s="22">
        <v>1.6569978547691118</v>
      </c>
      <c r="M15" s="24">
        <v>97878.971212230666</v>
      </c>
      <c r="N15" s="25">
        <v>3.4920558491191356</v>
      </c>
      <c r="O15" s="21">
        <v>2764079.6266669701</v>
      </c>
      <c r="P15" s="22">
        <v>0.50678580300435128</v>
      </c>
      <c r="Q15" s="24">
        <v>67797.244742468174</v>
      </c>
      <c r="R15" s="27">
        <v>3.9612409145271674</v>
      </c>
    </row>
    <row r="16" spans="1:18" s="76" customFormat="1" ht="12.75" x14ac:dyDescent="0.2">
      <c r="A16" s="56" t="str">
        <f>VLOOKUP("&lt;Zeilentitel_2&gt;",Uebersetzungen!$B$3:$E$63,Uebersetzungen!$B$2+1,FALSE)</f>
        <v>Genferseeregion</v>
      </c>
      <c r="B16" s="103">
        <v>1417154.0000000002</v>
      </c>
      <c r="C16" s="95">
        <v>165645.2967373725</v>
      </c>
      <c r="D16" s="96">
        <v>1.9173572500544573</v>
      </c>
      <c r="E16" s="90">
        <v>475243.62486107321</v>
      </c>
      <c r="F16" s="96">
        <v>1.0543166950620455</v>
      </c>
      <c r="G16" s="95">
        <v>77715.549833922691</v>
      </c>
      <c r="H16" s="91">
        <v>3.2408317048757995</v>
      </c>
      <c r="I16" s="95">
        <v>5707.0837382595219</v>
      </c>
      <c r="J16" s="96">
        <v>11.332777360387384</v>
      </c>
      <c r="K16" s="90">
        <v>87293.310274712872</v>
      </c>
      <c r="L16" s="96">
        <v>3.1979783927476113</v>
      </c>
      <c r="M16" s="95">
        <v>17035.368668977215</v>
      </c>
      <c r="N16" s="91">
        <v>7.0820456052953071</v>
      </c>
      <c r="O16" s="95">
        <v>564968.16169690655</v>
      </c>
      <c r="P16" s="96">
        <v>0.94596697741411917</v>
      </c>
      <c r="Q16" s="95">
        <v>23545.604188775618</v>
      </c>
      <c r="R16" s="102">
        <v>5.9471837995939119</v>
      </c>
    </row>
    <row r="17" spans="1:18" s="76" customFormat="1" ht="12.75" x14ac:dyDescent="0.2">
      <c r="A17" s="7" t="str">
        <f>VLOOKUP("&lt;Zeilentitel_3&gt;",Uebersetzungen!$B$3:$E$63,Uebersetzungen!$B$2+1,FALSE)</f>
        <v>Waadt</v>
      </c>
      <c r="B17" s="104">
        <v>699661.99999999616</v>
      </c>
      <c r="C17" s="29">
        <v>122511.54138655987</v>
      </c>
      <c r="D17" s="30">
        <v>2.0465814534396087</v>
      </c>
      <c r="E17" s="31">
        <v>175026.45040225243</v>
      </c>
      <c r="F17" s="30">
        <v>1.7143400668186575</v>
      </c>
      <c r="G17" s="29">
        <v>44243.569962558133</v>
      </c>
      <c r="H17" s="32">
        <v>3.9262561050105842</v>
      </c>
      <c r="I17" s="29">
        <v>1958.437889495322</v>
      </c>
      <c r="J17" s="30">
        <v>18.92577941367944</v>
      </c>
      <c r="K17" s="31">
        <v>43916.026625607112</v>
      </c>
      <c r="L17" s="30">
        <v>4.1235704059873193</v>
      </c>
      <c r="M17" s="29">
        <v>9056.3895345680612</v>
      </c>
      <c r="N17" s="32">
        <v>8.9011334749677484</v>
      </c>
      <c r="O17" s="29">
        <v>292336.19229354319</v>
      </c>
      <c r="P17" s="30">
        <v>1.1965712212184756</v>
      </c>
      <c r="Q17" s="29">
        <v>10613.391905412083</v>
      </c>
      <c r="R17" s="33">
        <v>8.0914862123881992</v>
      </c>
    </row>
    <row r="18" spans="1:18" s="76" customFormat="1" ht="12.75" x14ac:dyDescent="0.2">
      <c r="A18" s="7" t="str">
        <f>VLOOKUP("&lt;Zeilentitel_4&gt;",Uebersetzungen!$B$3:$E$63,Uebersetzungen!$B$2+1,FALSE)</f>
        <v>Wallis</v>
      </c>
      <c r="B18" s="104">
        <v>311880.99999999948</v>
      </c>
      <c r="C18" s="29">
        <v>15853.578185473163</v>
      </c>
      <c r="D18" s="30">
        <v>8.9791571965205588</v>
      </c>
      <c r="E18" s="31">
        <v>192223.15431873</v>
      </c>
      <c r="F18" s="30">
        <v>1.6666530577687655</v>
      </c>
      <c r="G18" s="29">
        <v>10551.78628884761</v>
      </c>
      <c r="H18" s="32">
        <v>11.945825973134729</v>
      </c>
      <c r="I18" s="34">
        <v>269.38597821584892</v>
      </c>
      <c r="J18" s="35">
        <v>74.082001603718439</v>
      </c>
      <c r="K18" s="31">
        <v>11714.391496817634</v>
      </c>
      <c r="L18" s="30">
        <v>11.827992817579444</v>
      </c>
      <c r="M18" s="29">
        <v>2492.409803501032</v>
      </c>
      <c r="N18" s="32">
        <v>24.789991735073219</v>
      </c>
      <c r="O18" s="29">
        <v>74699.854027234396</v>
      </c>
      <c r="P18" s="30">
        <v>3.9106334425675113</v>
      </c>
      <c r="Q18" s="29">
        <v>4076.4399011797864</v>
      </c>
      <c r="R18" s="33">
        <v>18.856461128336306</v>
      </c>
    </row>
    <row r="19" spans="1:18" s="76" customFormat="1" ht="12.75" x14ac:dyDescent="0.2">
      <c r="A19" s="7" t="str">
        <f>VLOOKUP("&lt;Zeilentitel_5&gt;",Uebersetzungen!$B$3:$E$63,Uebersetzungen!$B$2+1,FALSE)</f>
        <v>Genf</v>
      </c>
      <c r="B19" s="104">
        <v>405611.00000000454</v>
      </c>
      <c r="C19" s="29">
        <v>27280.177165339453</v>
      </c>
      <c r="D19" s="30">
        <v>4.8825018706710628</v>
      </c>
      <c r="E19" s="31">
        <v>107994.02014009078</v>
      </c>
      <c r="F19" s="30">
        <v>2.2375141623155383</v>
      </c>
      <c r="G19" s="29">
        <v>22920.193582516957</v>
      </c>
      <c r="H19" s="32">
        <v>5.7503002835575296</v>
      </c>
      <c r="I19" s="29">
        <v>3479.259870548351</v>
      </c>
      <c r="J19" s="30">
        <v>14.112896244648995</v>
      </c>
      <c r="K19" s="31">
        <v>31662.892152288121</v>
      </c>
      <c r="L19" s="30">
        <v>5.0866165576648372</v>
      </c>
      <c r="M19" s="29">
        <v>5486.5693309081225</v>
      </c>
      <c r="N19" s="32">
        <v>11.867215813110096</v>
      </c>
      <c r="O19" s="29">
        <v>197932.11537612899</v>
      </c>
      <c r="P19" s="30">
        <v>1.4103829131820242</v>
      </c>
      <c r="Q19" s="29">
        <v>8855.7723821837499</v>
      </c>
      <c r="R19" s="33">
        <v>8.9804186892259565</v>
      </c>
    </row>
    <row r="20" spans="1:18" s="76" customFormat="1" ht="12.75" x14ac:dyDescent="0.2">
      <c r="A20" s="56" t="str">
        <f>VLOOKUP("&lt;Zeilentitel_6&gt;",Uebersetzungen!$B$3:$E$63,Uebersetzungen!$B$2+1,FALSE)</f>
        <v>Espace Mittelland</v>
      </c>
      <c r="B20" s="103">
        <v>1635521.0000000196</v>
      </c>
      <c r="C20" s="95">
        <v>459724.74350011034</v>
      </c>
      <c r="D20" s="96">
        <v>1.3145019741807371</v>
      </c>
      <c r="E20" s="90">
        <v>387555.74375567795</v>
      </c>
      <c r="F20" s="96">
        <v>1.5008903147939188</v>
      </c>
      <c r="G20" s="95">
        <v>95636.299158919399</v>
      </c>
      <c r="H20" s="91">
        <v>3.6744881693839666</v>
      </c>
      <c r="I20" s="98">
        <v>1032.5904189106452</v>
      </c>
      <c r="J20" s="99">
        <v>35.711812461069691</v>
      </c>
      <c r="K20" s="90">
        <v>85434.807216732661</v>
      </c>
      <c r="L20" s="96">
        <v>4.1458515989463862</v>
      </c>
      <c r="M20" s="95">
        <v>20346.568681127705</v>
      </c>
      <c r="N20" s="91">
        <v>8.2059726781662636</v>
      </c>
      <c r="O20" s="95">
        <v>571047.36947375489</v>
      </c>
      <c r="P20" s="96">
        <v>1.2063865425605496</v>
      </c>
      <c r="Q20" s="95">
        <v>14742.877794786131</v>
      </c>
      <c r="R20" s="102">
        <v>9.1878614829438661</v>
      </c>
    </row>
    <row r="21" spans="1:18" s="76" customFormat="1" ht="12.75" x14ac:dyDescent="0.2">
      <c r="A21" s="7" t="str">
        <f>VLOOKUP("&lt;Zeilentitel_7&gt;",Uebersetzungen!$B$3:$E$63,Uebersetzungen!$B$2+1,FALSE)</f>
        <v>Bern</v>
      </c>
      <c r="B21" s="104">
        <v>895907.00000001513</v>
      </c>
      <c r="C21" s="29">
        <v>365871.85414265492</v>
      </c>
      <c r="D21" s="30">
        <v>1.4218640579267021</v>
      </c>
      <c r="E21" s="31">
        <v>124493.78999081434</v>
      </c>
      <c r="F21" s="30">
        <v>3.0719376603647794</v>
      </c>
      <c r="G21" s="29">
        <v>61275.584110526914</v>
      </c>
      <c r="H21" s="32">
        <v>4.6286428485377407</v>
      </c>
      <c r="I21" s="34">
        <v>751.15925686325113</v>
      </c>
      <c r="J21" s="35">
        <v>43.809609194911765</v>
      </c>
      <c r="K21" s="31">
        <v>42122.318463470459</v>
      </c>
      <c r="L21" s="30">
        <v>6.0018816886265016</v>
      </c>
      <c r="M21" s="29">
        <v>12231.245965424943</v>
      </c>
      <c r="N21" s="32">
        <v>10.769957871614071</v>
      </c>
      <c r="O21" s="29">
        <v>282569.40149387496</v>
      </c>
      <c r="P21" s="30">
        <v>1.8239190833551482</v>
      </c>
      <c r="Q21" s="29">
        <v>6591.6465763853366</v>
      </c>
      <c r="R21" s="33">
        <v>14.248691877783385</v>
      </c>
    </row>
    <row r="22" spans="1:18" s="76" customFormat="1" ht="12.75" x14ac:dyDescent="0.2">
      <c r="A22" s="7" t="str">
        <f>VLOOKUP("&lt;Zeilentitel_8&gt;",Uebersetzungen!$B$3:$E$63,Uebersetzungen!$B$2+1,FALSE)</f>
        <v>Freiburg</v>
      </c>
      <c r="B22" s="104">
        <v>283762.99999999849</v>
      </c>
      <c r="C22" s="29">
        <v>29660.590660153848</v>
      </c>
      <c r="D22" s="30">
        <v>6.2876562167876129</v>
      </c>
      <c r="E22" s="31">
        <v>139599.7154321422</v>
      </c>
      <c r="F22" s="30">
        <v>2.1990396317184215</v>
      </c>
      <c r="G22" s="29">
        <v>10306.50424470613</v>
      </c>
      <c r="H22" s="32">
        <v>11.781564725873254</v>
      </c>
      <c r="I22" s="38" t="s">
        <v>1</v>
      </c>
      <c r="J22" s="30" t="s">
        <v>1</v>
      </c>
      <c r="K22" s="31">
        <v>13063.55086246218</v>
      </c>
      <c r="L22" s="30">
        <v>11.169189758228807</v>
      </c>
      <c r="M22" s="29">
        <v>2047.150871185353</v>
      </c>
      <c r="N22" s="32">
        <v>26.199576947464067</v>
      </c>
      <c r="O22" s="29">
        <v>85788.345220222793</v>
      </c>
      <c r="P22" s="30">
        <v>3.3662936823032941</v>
      </c>
      <c r="Q22" s="29">
        <v>3224.691808387327</v>
      </c>
      <c r="R22" s="33">
        <v>20.503287333044039</v>
      </c>
    </row>
    <row r="23" spans="1:18" s="76" customFormat="1" ht="12.75" x14ac:dyDescent="0.2">
      <c r="A23" s="7" t="str">
        <f>VLOOKUP("&lt;Zeilentitel_9&gt;",Uebersetzungen!$B$3:$E$63,Uebersetzungen!$B$2+1,FALSE)</f>
        <v>Solothurn</v>
      </c>
      <c r="B23" s="104">
        <v>243244.0000000053</v>
      </c>
      <c r="C23" s="29">
        <v>37771.157568993847</v>
      </c>
      <c r="D23" s="30">
        <v>5.463717900798259</v>
      </c>
      <c r="E23" s="31">
        <v>61869.356146986102</v>
      </c>
      <c r="F23" s="30">
        <v>4.0849203013803672</v>
      </c>
      <c r="G23" s="29">
        <v>14105.656067655247</v>
      </c>
      <c r="H23" s="32">
        <v>10.034275686699768</v>
      </c>
      <c r="I23" s="38" t="s">
        <v>1</v>
      </c>
      <c r="J23" s="30" t="s">
        <v>1</v>
      </c>
      <c r="K23" s="31">
        <v>20305.772422706377</v>
      </c>
      <c r="L23" s="30">
        <v>8.6834074844832241</v>
      </c>
      <c r="M23" s="29">
        <v>4319.0193114184867</v>
      </c>
      <c r="N23" s="32">
        <v>18.365387360327016</v>
      </c>
      <c r="O23" s="29">
        <v>102870.88643578849</v>
      </c>
      <c r="P23" s="30">
        <v>2.8119051096940195</v>
      </c>
      <c r="Q23" s="29">
        <v>1932.7652027826391</v>
      </c>
      <c r="R23" s="33">
        <v>27.130269155133234</v>
      </c>
    </row>
    <row r="24" spans="1:18" s="76" customFormat="1" ht="12.75" x14ac:dyDescent="0.2">
      <c r="A24" s="7" t="str">
        <f>VLOOKUP("&lt;Zeilentitel_10&gt;",Uebersetzungen!$B$3:$E$63,Uebersetzungen!$B$2+1,FALSE)</f>
        <v>Neuenburg</v>
      </c>
      <c r="B24" s="104">
        <v>150142.00000000122</v>
      </c>
      <c r="C24" s="29">
        <v>21898.870241593249</v>
      </c>
      <c r="D24" s="30">
        <v>4.9545007232436022</v>
      </c>
      <c r="E24" s="31">
        <v>25813.729064028463</v>
      </c>
      <c r="F24" s="30">
        <v>4.6124736259137924</v>
      </c>
      <c r="G24" s="29">
        <v>7417.5887241992286</v>
      </c>
      <c r="H24" s="32">
        <v>9.511966969423252</v>
      </c>
      <c r="I24" s="34">
        <v>139.59341763467782</v>
      </c>
      <c r="J24" s="35">
        <v>67.539871461567429</v>
      </c>
      <c r="K24" s="31">
        <v>7391.8713583509616</v>
      </c>
      <c r="L24" s="30">
        <v>9.9282612423745622</v>
      </c>
      <c r="M24" s="29">
        <v>1448.9907993777349</v>
      </c>
      <c r="N24" s="32">
        <v>21.583772633316642</v>
      </c>
      <c r="O24" s="29">
        <v>83759.802449705807</v>
      </c>
      <c r="P24" s="30">
        <v>1.9249980805582536</v>
      </c>
      <c r="Q24" s="29">
        <v>2271.5539451111094</v>
      </c>
      <c r="R24" s="33">
        <v>16.805299220188939</v>
      </c>
    </row>
    <row r="25" spans="1:18" s="76" customFormat="1" ht="12.75" x14ac:dyDescent="0.2">
      <c r="A25" s="7" t="str">
        <f>VLOOKUP("&lt;Zeilentitel_11&gt;",Uebersetzungen!$B$3:$E$63,Uebersetzungen!$B$2+1,FALSE)</f>
        <v>Jura</v>
      </c>
      <c r="B25" s="104">
        <v>62464.999999999607</v>
      </c>
      <c r="C25" s="29">
        <v>4522.2708867145129</v>
      </c>
      <c r="D25" s="30">
        <v>16.27836272012809</v>
      </c>
      <c r="E25" s="31">
        <v>35779.153121706826</v>
      </c>
      <c r="F25" s="30">
        <v>3.9330286938888368</v>
      </c>
      <c r="G25" s="29">
        <v>2530.966011831867</v>
      </c>
      <c r="H25" s="32">
        <v>22.676673753256541</v>
      </c>
      <c r="I25" s="29" t="s">
        <v>1</v>
      </c>
      <c r="J25" s="30" t="s">
        <v>1</v>
      </c>
      <c r="K25" s="31">
        <v>2551.2941097426774</v>
      </c>
      <c r="L25" s="30">
        <v>24.091480452086721</v>
      </c>
      <c r="M25" s="34">
        <v>300.16173372118675</v>
      </c>
      <c r="N25" s="37">
        <v>64.727793193821242</v>
      </c>
      <c r="O25" s="29">
        <v>16058.933874162825</v>
      </c>
      <c r="P25" s="30">
        <v>7.8516571134971187</v>
      </c>
      <c r="Q25" s="34">
        <v>722.22026211972013</v>
      </c>
      <c r="R25" s="40">
        <v>42.643505414796849</v>
      </c>
    </row>
    <row r="26" spans="1:18" s="76" customFormat="1" ht="12.75" x14ac:dyDescent="0.2">
      <c r="A26" s="56" t="str">
        <f>VLOOKUP("&lt;Zeilentitel_12&gt;",Uebersetzungen!$B$3:$E$63,Uebersetzungen!$B$2+1,FALSE)</f>
        <v>Nordwestschweiz</v>
      </c>
      <c r="B26" s="103">
        <v>1034877.9999999993</v>
      </c>
      <c r="C26" s="95">
        <v>187444.56897683669</v>
      </c>
      <c r="D26" s="96">
        <v>1.9930247045999578</v>
      </c>
      <c r="E26" s="90">
        <v>232243.64301417838</v>
      </c>
      <c r="F26" s="96">
        <v>1.7318770702201314</v>
      </c>
      <c r="G26" s="95">
        <v>69055.253263084378</v>
      </c>
      <c r="H26" s="91">
        <v>3.6570302503857031</v>
      </c>
      <c r="I26" s="95">
        <v>1557.247579802483</v>
      </c>
      <c r="J26" s="96">
        <v>27.657177322971091</v>
      </c>
      <c r="K26" s="90">
        <v>77228.699583696201</v>
      </c>
      <c r="L26" s="96">
        <v>3.6331373735360231</v>
      </c>
      <c r="M26" s="95">
        <v>15456.017133513236</v>
      </c>
      <c r="N26" s="91">
        <v>8.3211863791012224</v>
      </c>
      <c r="O26" s="95">
        <v>444524.72695400118</v>
      </c>
      <c r="P26" s="96">
        <v>1.1099500045834458</v>
      </c>
      <c r="Q26" s="95">
        <v>7367.8434948867007</v>
      </c>
      <c r="R26" s="102">
        <v>11.603088582502307</v>
      </c>
    </row>
    <row r="27" spans="1:18" s="76" customFormat="1" ht="12.75" x14ac:dyDescent="0.2">
      <c r="A27" s="7" t="str">
        <f>VLOOKUP("&lt;Zeilentitel_13&gt;",Uebersetzungen!$B$3:$E$63,Uebersetzungen!$B$2+1,FALSE)</f>
        <v>Basel-Stadt</v>
      </c>
      <c r="B27" s="104">
        <v>168790.99999999828</v>
      </c>
      <c r="C27" s="29">
        <v>18698.044896128897</v>
      </c>
      <c r="D27" s="30">
        <v>8.1676345881377586</v>
      </c>
      <c r="E27" s="31">
        <v>21287.546944998594</v>
      </c>
      <c r="F27" s="30">
        <v>7.6767285913247338</v>
      </c>
      <c r="G27" s="29">
        <v>9687.8867034548584</v>
      </c>
      <c r="H27" s="32">
        <v>12.163389286461902</v>
      </c>
      <c r="I27" s="34">
        <v>787.28230019904629</v>
      </c>
      <c r="J27" s="35">
        <v>43.607166755226253</v>
      </c>
      <c r="K27" s="31">
        <v>14358.340694742916</v>
      </c>
      <c r="L27" s="30">
        <v>10.502180967455192</v>
      </c>
      <c r="M27" s="29">
        <v>2935.4465634027238</v>
      </c>
      <c r="N27" s="32">
        <v>23.65115026946409</v>
      </c>
      <c r="O27" s="29">
        <v>99580.268149990967</v>
      </c>
      <c r="P27" s="30">
        <v>2.4541572212101905</v>
      </c>
      <c r="Q27" s="36">
        <v>1456.1837470802702</v>
      </c>
      <c r="R27" s="40">
        <v>31.525842801371425</v>
      </c>
    </row>
    <row r="28" spans="1:18" s="76" customFormat="1" ht="12.75" x14ac:dyDescent="0.2">
      <c r="A28" s="7" t="str">
        <f>VLOOKUP("&lt;Zeilentitel_14&gt;",Uebersetzungen!$B$3:$E$63,Uebersetzungen!$B$2+1,FALSE)</f>
        <v>Basel-Landschaft</v>
      </c>
      <c r="B28" s="104">
        <v>253309.00000000332</v>
      </c>
      <c r="C28" s="29">
        <v>60642.490717357097</v>
      </c>
      <c r="D28" s="30">
        <v>4.0354651175610741</v>
      </c>
      <c r="E28" s="31">
        <v>55879.968816053173</v>
      </c>
      <c r="F28" s="30">
        <v>4.3257034319013554</v>
      </c>
      <c r="G28" s="29">
        <v>14975.301111998257</v>
      </c>
      <c r="H28" s="32">
        <v>9.5617877584523043</v>
      </c>
      <c r="I28" s="34">
        <v>244.75935082540178</v>
      </c>
      <c r="J28" s="35">
        <v>73.628712498579134</v>
      </c>
      <c r="K28" s="31">
        <v>13904.709075855493</v>
      </c>
      <c r="L28" s="30">
        <v>10.322220461508083</v>
      </c>
      <c r="M28" s="29">
        <v>3935.4985867506057</v>
      </c>
      <c r="N28" s="32">
        <v>19.441019103368625</v>
      </c>
      <c r="O28" s="29">
        <v>102003.28404557183</v>
      </c>
      <c r="P28" s="30">
        <v>2.8518788882064907</v>
      </c>
      <c r="Q28" s="36">
        <v>1722.98829559144</v>
      </c>
      <c r="R28" s="40">
        <v>28.130925769700038</v>
      </c>
    </row>
    <row r="29" spans="1:18" s="76" customFormat="1" ht="12.75" x14ac:dyDescent="0.2">
      <c r="A29" s="7" t="str">
        <f>VLOOKUP("&lt;Zeilentitel_15&gt;",Uebersetzungen!$B$3:$E$63,Uebersetzungen!$B$2+1,FALSE)</f>
        <v>Aargau</v>
      </c>
      <c r="B29" s="104">
        <v>612777.99999999767</v>
      </c>
      <c r="C29" s="29">
        <v>108104.03336335068</v>
      </c>
      <c r="D29" s="30">
        <v>2.1959015221902494</v>
      </c>
      <c r="E29" s="31">
        <v>155076.12725312659</v>
      </c>
      <c r="F29" s="30">
        <v>1.7852362206498844</v>
      </c>
      <c r="G29" s="29">
        <v>44392.065447631263</v>
      </c>
      <c r="H29" s="32">
        <v>3.8615631797476597</v>
      </c>
      <c r="I29" s="34">
        <v>525.20592877803495</v>
      </c>
      <c r="J29" s="35">
        <v>35.699611108252007</v>
      </c>
      <c r="K29" s="31">
        <v>48965.649813097793</v>
      </c>
      <c r="L29" s="30">
        <v>3.8417931882348939</v>
      </c>
      <c r="M29" s="29">
        <v>8585.0719833599069</v>
      </c>
      <c r="N29" s="32">
        <v>8.9222579723240365</v>
      </c>
      <c r="O29" s="29">
        <v>242941.17475843843</v>
      </c>
      <c r="P29" s="30">
        <v>1.2957673376417127</v>
      </c>
      <c r="Q29" s="29">
        <v>4188.6714522149905</v>
      </c>
      <c r="R29" s="33">
        <v>12.74906535694674</v>
      </c>
    </row>
    <row r="30" spans="1:18" s="76" customFormat="1" ht="12.75" x14ac:dyDescent="0.2">
      <c r="A30" s="7" t="str">
        <f>VLOOKUP("&lt;Zeilentitel_16&gt;",Uebersetzungen!$B$3:$E$63,Uebersetzungen!$B$2+1,FALSE)</f>
        <v>Zürich</v>
      </c>
      <c r="B30" s="105">
        <v>1347408.0000000009</v>
      </c>
      <c r="C30" s="29">
        <v>293675.24127055361</v>
      </c>
      <c r="D30" s="30">
        <v>1.8649532432931646</v>
      </c>
      <c r="E30" s="31">
        <v>286768.63495502766</v>
      </c>
      <c r="F30" s="30">
        <v>1.9507302822706991</v>
      </c>
      <c r="G30" s="29">
        <v>89575.297353953836</v>
      </c>
      <c r="H30" s="32">
        <v>3.8825816675972575</v>
      </c>
      <c r="I30" s="29">
        <v>6271.926949808093</v>
      </c>
      <c r="J30" s="30">
        <v>15.284296112546466</v>
      </c>
      <c r="K30" s="31">
        <v>94236.042353061435</v>
      </c>
      <c r="L30" s="30">
        <v>3.9529576848343209</v>
      </c>
      <c r="M30" s="29">
        <v>23165.428889944076</v>
      </c>
      <c r="N30" s="32">
        <v>7.8379973612323202</v>
      </c>
      <c r="O30" s="29">
        <v>545947.32162182289</v>
      </c>
      <c r="P30" s="30">
        <v>1.2398618694963646</v>
      </c>
      <c r="Q30" s="29">
        <v>7768.1066058292326</v>
      </c>
      <c r="R30" s="33">
        <v>13.80956681394394</v>
      </c>
    </row>
    <row r="31" spans="1:18" s="76" customFormat="1" ht="12.75" x14ac:dyDescent="0.2">
      <c r="A31" s="56" t="str">
        <f>VLOOKUP("&lt;Zeilentitel_17&gt;",Uebersetzungen!$B$3:$E$63,Uebersetzungen!$B$2+1,FALSE)</f>
        <v>Ostschweiz</v>
      </c>
      <c r="B31" s="103">
        <v>1044137.9999999994</v>
      </c>
      <c r="C31" s="95">
        <v>229010.50178904412</v>
      </c>
      <c r="D31" s="96">
        <v>2.105806217369067</v>
      </c>
      <c r="E31" s="90">
        <v>338523.5474022167</v>
      </c>
      <c r="F31" s="96">
        <v>1.6354190023040927</v>
      </c>
      <c r="G31" s="95">
        <v>65419.218710513233</v>
      </c>
      <c r="H31" s="91">
        <v>4.5651502371737438</v>
      </c>
      <c r="I31" s="100">
        <v>496.40628591560551</v>
      </c>
      <c r="J31" s="99">
        <v>51.875520979985296</v>
      </c>
      <c r="K31" s="90">
        <v>68816.512807516454</v>
      </c>
      <c r="L31" s="96">
        <v>4.6732207201790681</v>
      </c>
      <c r="M31" s="95">
        <v>11038.482425216407</v>
      </c>
      <c r="N31" s="91">
        <v>11.379193549682629</v>
      </c>
      <c r="O31" s="95">
        <v>324412.85926343862</v>
      </c>
      <c r="P31" s="96">
        <v>1.7312930778337521</v>
      </c>
      <c r="Q31" s="95">
        <v>6420.4713161383315</v>
      </c>
      <c r="R31" s="102">
        <v>14.765496354071752</v>
      </c>
    </row>
    <row r="32" spans="1:18" s="76" customFormat="1" ht="12.75" x14ac:dyDescent="0.2">
      <c r="A32" s="7" t="str">
        <f>VLOOKUP("&lt;Zeilentitel_18&gt;",Uebersetzungen!$B$3:$E$63,Uebersetzungen!$B$2+1,FALSE)</f>
        <v>Glarus</v>
      </c>
      <c r="B32" s="104">
        <v>35219.999999999549</v>
      </c>
      <c r="C32" s="29">
        <v>9363.7885203553451</v>
      </c>
      <c r="D32" s="30">
        <v>10.523456466258473</v>
      </c>
      <c r="E32" s="31">
        <v>9968.7170443536543</v>
      </c>
      <c r="F32" s="30">
        <v>10.245352245276813</v>
      </c>
      <c r="G32" s="36">
        <v>1786.7555268211281</v>
      </c>
      <c r="H32" s="37">
        <v>28.009098195612438</v>
      </c>
      <c r="I32" s="38" t="s">
        <v>1</v>
      </c>
      <c r="J32" s="30" t="s">
        <v>1</v>
      </c>
      <c r="K32" s="31">
        <v>2189.3446238247784</v>
      </c>
      <c r="L32" s="30">
        <v>26.993957976089938</v>
      </c>
      <c r="M32" s="34">
        <v>894.91134315358022</v>
      </c>
      <c r="N32" s="37">
        <v>41.151255328363419</v>
      </c>
      <c r="O32" s="29">
        <v>10760.104323462851</v>
      </c>
      <c r="P32" s="30">
        <v>9.6458052420055047</v>
      </c>
      <c r="Q32" s="34">
        <v>219.07967804766588</v>
      </c>
      <c r="R32" s="40">
        <v>78.948282047627814</v>
      </c>
    </row>
    <row r="33" spans="1:18" s="76" customFormat="1" ht="12.75" x14ac:dyDescent="0.2">
      <c r="A33" s="7" t="str">
        <f>VLOOKUP("&lt;Zeilentitel_19&gt;",Uebersetzungen!$B$3:$E$63,Uebersetzungen!$B$2+1,FALSE)</f>
        <v>Schaffhausen</v>
      </c>
      <c r="B33" s="104">
        <v>74427.999999999447</v>
      </c>
      <c r="C33" s="29">
        <v>20875.506128552883</v>
      </c>
      <c r="D33" s="30">
        <v>6.8373234717442299</v>
      </c>
      <c r="E33" s="31">
        <v>13264.510204974629</v>
      </c>
      <c r="F33" s="30">
        <v>9.4507101248695893</v>
      </c>
      <c r="G33" s="29">
        <v>5348.2788763918225</v>
      </c>
      <c r="H33" s="32">
        <v>15.799205800520253</v>
      </c>
      <c r="I33" s="38" t="s">
        <v>1</v>
      </c>
      <c r="J33" s="30" t="s">
        <v>1</v>
      </c>
      <c r="K33" s="31">
        <v>5526.6753968315197</v>
      </c>
      <c r="L33" s="30">
        <v>16.4774402987881</v>
      </c>
      <c r="M33" s="34">
        <v>710.3536391025807</v>
      </c>
      <c r="N33" s="37">
        <v>44.501976439787548</v>
      </c>
      <c r="O33" s="29">
        <v>27914.182232645155</v>
      </c>
      <c r="P33" s="30">
        <v>5.7643878974789962</v>
      </c>
      <c r="Q33" s="34">
        <v>682.52214482092916</v>
      </c>
      <c r="R33" s="40">
        <v>48.040818607105479</v>
      </c>
    </row>
    <row r="34" spans="1:18" s="76" customFormat="1" ht="12.75" x14ac:dyDescent="0.2">
      <c r="A34" s="7" t="str">
        <f>VLOOKUP("&lt;Zeilentitel_20&gt;",Uebersetzungen!$B$3:$E$63,Uebersetzungen!$B$2+1,FALSE)</f>
        <v>Appenzell Ausserrhoden</v>
      </c>
      <c r="B34" s="104">
        <v>46838.000000000378</v>
      </c>
      <c r="C34" s="29">
        <v>15095.265129355255</v>
      </c>
      <c r="D34" s="30">
        <v>7.7891420172719714</v>
      </c>
      <c r="E34" s="31">
        <v>12048.18387078442</v>
      </c>
      <c r="F34" s="30">
        <v>9.3572275730381254</v>
      </c>
      <c r="G34" s="29">
        <v>3142.4751130599434</v>
      </c>
      <c r="H34" s="32">
        <v>20.653324297885032</v>
      </c>
      <c r="I34" s="29" t="s">
        <v>1</v>
      </c>
      <c r="J34" s="30" t="s">
        <v>1</v>
      </c>
      <c r="K34" s="39">
        <v>1427.7644401871767</v>
      </c>
      <c r="L34" s="35">
        <v>33.424997587831648</v>
      </c>
      <c r="M34" s="34">
        <v>484.75884367964738</v>
      </c>
      <c r="N34" s="37">
        <v>60.6918341569516</v>
      </c>
      <c r="O34" s="29">
        <v>14385.941951919891</v>
      </c>
      <c r="P34" s="30">
        <v>8.2215900526468424</v>
      </c>
      <c r="Q34" s="34">
        <v>253.61065101404415</v>
      </c>
      <c r="R34" s="40">
        <v>73.223033404805363</v>
      </c>
    </row>
    <row r="35" spans="1:18" s="76" customFormat="1" ht="12.75" x14ac:dyDescent="0.2">
      <c r="A35" s="7" t="str">
        <f>VLOOKUP("&lt;Zeilentitel_21&gt;",Uebersetzungen!$B$3:$E$63,Uebersetzungen!$B$2+1,FALSE)</f>
        <v>Appenzell Innerrhoden</v>
      </c>
      <c r="B35" s="104">
        <v>13807.999999999935</v>
      </c>
      <c r="C35" s="36">
        <v>1447.7281837878086</v>
      </c>
      <c r="D35" s="35">
        <v>28.271079594410789</v>
      </c>
      <c r="E35" s="31">
        <v>9306.6343279358298</v>
      </c>
      <c r="F35" s="30">
        <v>7.0753277388833906</v>
      </c>
      <c r="G35" s="34">
        <v>305.46030588610728</v>
      </c>
      <c r="H35" s="37">
        <v>68.14622273578432</v>
      </c>
      <c r="I35" s="29" t="s">
        <v>1</v>
      </c>
      <c r="J35" s="30" t="s">
        <v>1</v>
      </c>
      <c r="K35" s="41">
        <v>260.14518057547923</v>
      </c>
      <c r="L35" s="35">
        <v>72.706575653975875</v>
      </c>
      <c r="M35" s="38" t="s">
        <v>1</v>
      </c>
      <c r="N35" s="32" t="s">
        <v>1</v>
      </c>
      <c r="O35" s="29">
        <v>2411.6248294319562</v>
      </c>
      <c r="P35" s="30">
        <v>21.716123189545748</v>
      </c>
      <c r="Q35" s="38" t="s">
        <v>1</v>
      </c>
      <c r="R35" s="33" t="s">
        <v>1</v>
      </c>
    </row>
    <row r="36" spans="1:18" s="76" customFormat="1" ht="12.75" x14ac:dyDescent="0.2">
      <c r="A36" s="7" t="str">
        <f>VLOOKUP("&lt;Zeilentitel_22&gt;",Uebersetzungen!$B$3:$E$63,Uebersetzungen!$B$2+1,FALSE)</f>
        <v>St. Gallen</v>
      </c>
      <c r="B36" s="104">
        <v>448491.00000000483</v>
      </c>
      <c r="C36" s="29">
        <v>73457.176497460765</v>
      </c>
      <c r="D36" s="30">
        <v>3.8812558875269998</v>
      </c>
      <c r="E36" s="31">
        <v>162551.72316576584</v>
      </c>
      <c r="F36" s="30">
        <v>2.2950213830406661</v>
      </c>
      <c r="G36" s="29">
        <v>31176.76337940216</v>
      </c>
      <c r="H36" s="32">
        <v>6.58146369151605</v>
      </c>
      <c r="I36" s="38" t="s">
        <v>1</v>
      </c>
      <c r="J36" s="30" t="s">
        <v>1</v>
      </c>
      <c r="K36" s="31">
        <v>38103.182298345462</v>
      </c>
      <c r="L36" s="30">
        <v>6.1922625273594214</v>
      </c>
      <c r="M36" s="29">
        <v>5070.1736686739541</v>
      </c>
      <c r="N36" s="32">
        <v>16.291904040259983</v>
      </c>
      <c r="O36" s="29">
        <v>135485.85681457011</v>
      </c>
      <c r="P36" s="30">
        <v>2.6868676061734935</v>
      </c>
      <c r="Q36" s="29">
        <v>2510.5885874744713</v>
      </c>
      <c r="R36" s="33">
        <v>23.525237147932728</v>
      </c>
    </row>
    <row r="37" spans="1:18" s="76" customFormat="1" ht="12.75" x14ac:dyDescent="0.2">
      <c r="A37" s="65" t="str">
        <f>VLOOKUP("&lt;Zeilentitel_23&gt;",Uebersetzungen!$B$3:$E$63,Uebersetzungen!$B$2+1,FALSE)</f>
        <v>Graubünden</v>
      </c>
      <c r="B37" s="104">
        <v>175976.99999999543</v>
      </c>
      <c r="C37" s="29">
        <v>46179.637407971728</v>
      </c>
      <c r="D37" s="30">
        <v>4.5375674939224622</v>
      </c>
      <c r="E37" s="31">
        <v>63177.487176694478</v>
      </c>
      <c r="F37" s="30">
        <v>3.7357733495761263</v>
      </c>
      <c r="G37" s="29">
        <v>6995.1161418212396</v>
      </c>
      <c r="H37" s="32">
        <v>14.143870562629274</v>
      </c>
      <c r="I37" s="38" t="s">
        <v>1</v>
      </c>
      <c r="J37" s="30" t="s">
        <v>1</v>
      </c>
      <c r="K37" s="31">
        <v>3761.760986363307</v>
      </c>
      <c r="L37" s="30">
        <v>20.830454294155608</v>
      </c>
      <c r="M37" s="36">
        <v>1324.6302194520354</v>
      </c>
      <c r="N37" s="37">
        <v>32.382097971964313</v>
      </c>
      <c r="O37" s="29">
        <v>53307.381898885498</v>
      </c>
      <c r="P37" s="30">
        <v>4.2767369048164054</v>
      </c>
      <c r="Q37" s="36">
        <v>1162.7414010893654</v>
      </c>
      <c r="R37" s="40">
        <v>34.443746117636607</v>
      </c>
    </row>
    <row r="38" spans="1:18" s="76" customFormat="1" ht="12.75" x14ac:dyDescent="0.2">
      <c r="A38" s="7" t="str">
        <f>VLOOKUP("&lt;Zeilentitel_24&gt;",Uebersetzungen!$B$3:$E$63,Uebersetzungen!$B$2+1,FALSE)</f>
        <v>Thurgau</v>
      </c>
      <c r="B38" s="104">
        <v>249375.99999999991</v>
      </c>
      <c r="C38" s="29">
        <v>62591.399921560318</v>
      </c>
      <c r="D38" s="30">
        <v>3.9714153997420736</v>
      </c>
      <c r="E38" s="31">
        <v>68206.291611707842</v>
      </c>
      <c r="F38" s="30">
        <v>3.8354256847628836</v>
      </c>
      <c r="G38" s="29">
        <v>16664.369367130832</v>
      </c>
      <c r="H38" s="32">
        <v>9.1026077424261551</v>
      </c>
      <c r="I38" s="38" t="s">
        <v>1</v>
      </c>
      <c r="J38" s="30" t="s">
        <v>1</v>
      </c>
      <c r="K38" s="31">
        <v>17547.639881388739</v>
      </c>
      <c r="L38" s="30">
        <v>9.3973023171369441</v>
      </c>
      <c r="M38" s="29">
        <v>2518.8990408042487</v>
      </c>
      <c r="N38" s="32">
        <v>24.627517106958908</v>
      </c>
      <c r="O38" s="29">
        <v>80147.767212523133</v>
      </c>
      <c r="P38" s="30">
        <v>3.4748713174252734</v>
      </c>
      <c r="Q38" s="36">
        <v>1550.2773516594639</v>
      </c>
      <c r="R38" s="40">
        <v>29.637917982815914</v>
      </c>
    </row>
    <row r="39" spans="1:18" s="76" customFormat="1" ht="12.75" x14ac:dyDescent="0.2">
      <c r="A39" s="56" t="str">
        <f>VLOOKUP("&lt;Zeilentitel_25&gt;",Uebersetzungen!$B$3:$E$63,Uebersetzungen!$B$2+1,FALSE)</f>
        <v>Zentralschweiz</v>
      </c>
      <c r="B39" s="106">
        <v>720407.99999999919</v>
      </c>
      <c r="C39" s="95">
        <v>61672.332670003656</v>
      </c>
      <c r="D39" s="96">
        <v>3.5355867360963478</v>
      </c>
      <c r="E39" s="90">
        <v>358614.68782039243</v>
      </c>
      <c r="F39" s="96">
        <v>1.109013418824798</v>
      </c>
      <c r="G39" s="95">
        <v>35084.433534970725</v>
      </c>
      <c r="H39" s="91">
        <v>5.0209227966423162</v>
      </c>
      <c r="I39" s="100">
        <v>822.75579638448244</v>
      </c>
      <c r="J39" s="99">
        <v>33.104863782353711</v>
      </c>
      <c r="K39" s="90">
        <v>32340.822577519382</v>
      </c>
      <c r="L39" s="96">
        <v>5.5411188445807493</v>
      </c>
      <c r="M39" s="95">
        <v>8661.319685154871</v>
      </c>
      <c r="N39" s="91">
        <v>10.078407970868788</v>
      </c>
      <c r="O39" s="95">
        <v>219062.72609066224</v>
      </c>
      <c r="P39" s="96">
        <v>1.6932336741931824</v>
      </c>
      <c r="Q39" s="95">
        <v>4148.9218249113401</v>
      </c>
      <c r="R39" s="102">
        <v>14.968027168906815</v>
      </c>
    </row>
    <row r="40" spans="1:18" s="76" customFormat="1" ht="12.75" x14ac:dyDescent="0.2">
      <c r="A40" s="7" t="str">
        <f>VLOOKUP("&lt;Zeilentitel_26&gt;",Uebersetzungen!$B$3:$E$63,Uebersetzungen!$B$2+1,FALSE)</f>
        <v>Luzern</v>
      </c>
      <c r="B40" s="104">
        <v>363522.99999999907</v>
      </c>
      <c r="C40" s="29">
        <v>30666.397046339876</v>
      </c>
      <c r="D40" s="30">
        <v>4.4210948432331589</v>
      </c>
      <c r="E40" s="31">
        <v>179146.73554682423</v>
      </c>
      <c r="F40" s="30">
        <v>1.3685805835355047</v>
      </c>
      <c r="G40" s="29">
        <v>18560.766315539258</v>
      </c>
      <c r="H40" s="32">
        <v>6.1120884301284546</v>
      </c>
      <c r="I40" s="34">
        <v>203.7332283641496</v>
      </c>
      <c r="J40" s="35">
        <v>55.173906980562535</v>
      </c>
      <c r="K40" s="31">
        <v>18532.745738236776</v>
      </c>
      <c r="L40" s="30">
        <v>6.4767892498102055</v>
      </c>
      <c r="M40" s="29">
        <v>4604.3903871343291</v>
      </c>
      <c r="N40" s="32">
        <v>12.276602093234541</v>
      </c>
      <c r="O40" s="29">
        <v>109828.4552342745</v>
      </c>
      <c r="P40" s="30">
        <v>2.0903647666182628</v>
      </c>
      <c r="Q40" s="29">
        <v>1979.7765032859738</v>
      </c>
      <c r="R40" s="33">
        <v>18.825338263606117</v>
      </c>
    </row>
    <row r="41" spans="1:18" s="76" customFormat="1" ht="12.75" x14ac:dyDescent="0.2">
      <c r="A41" s="7" t="str">
        <f>VLOOKUP("&lt;Zeilentitel_27&gt;",Uebersetzungen!$B$3:$E$63,Uebersetzungen!$B$2+1,FALSE)</f>
        <v>Uri</v>
      </c>
      <c r="B41" s="104">
        <v>31946.000000000317</v>
      </c>
      <c r="C41" s="36">
        <v>1173.3174630805188</v>
      </c>
      <c r="D41" s="35">
        <v>33.320338343696513</v>
      </c>
      <c r="E41" s="31">
        <v>21495.835051108897</v>
      </c>
      <c r="F41" s="30">
        <v>4.4661856677076743</v>
      </c>
      <c r="G41" s="36">
        <v>1042.7743276443541</v>
      </c>
      <c r="H41" s="37">
        <v>37.316254814356803</v>
      </c>
      <c r="I41" s="38" t="s">
        <v>1</v>
      </c>
      <c r="J41" s="30" t="s">
        <v>1</v>
      </c>
      <c r="K41" s="41">
        <v>724.3121061162152</v>
      </c>
      <c r="L41" s="35">
        <v>44.215103134347686</v>
      </c>
      <c r="M41" s="34">
        <v>195.16219756776036</v>
      </c>
      <c r="N41" s="37">
        <v>86.390673516316397</v>
      </c>
      <c r="O41" s="29">
        <v>6922.8212437750699</v>
      </c>
      <c r="P41" s="30">
        <v>12.586218178526412</v>
      </c>
      <c r="Q41" s="34">
        <v>357.06166359129764</v>
      </c>
      <c r="R41" s="40">
        <v>66.719248790926144</v>
      </c>
    </row>
    <row r="42" spans="1:18" s="76" customFormat="1" ht="12.75" x14ac:dyDescent="0.2">
      <c r="A42" s="7" t="str">
        <f>VLOOKUP("&lt;Zeilentitel_28&gt;",Uebersetzungen!$B$3:$E$63,Uebersetzungen!$B$2+1,FALSE)</f>
        <v>Schwyz</v>
      </c>
      <c r="B42" s="104">
        <v>142109.00000000242</v>
      </c>
      <c r="C42" s="29">
        <v>11736.275323678317</v>
      </c>
      <c r="D42" s="30">
        <v>10.158459280460436</v>
      </c>
      <c r="E42" s="31">
        <v>70563.350950217893</v>
      </c>
      <c r="F42" s="30">
        <v>3.0942562182254711</v>
      </c>
      <c r="G42" s="29">
        <v>6747.7759334617449</v>
      </c>
      <c r="H42" s="32">
        <v>14.175661295342248</v>
      </c>
      <c r="I42" s="34">
        <v>184.88871026213945</v>
      </c>
      <c r="J42" s="35">
        <v>86.855870968591546</v>
      </c>
      <c r="K42" s="31">
        <v>6607.3950404284369</v>
      </c>
      <c r="L42" s="30">
        <v>15.361594816788596</v>
      </c>
      <c r="M42" s="36">
        <v>1398.9056511978051</v>
      </c>
      <c r="N42" s="37">
        <v>31.595227634080072</v>
      </c>
      <c r="O42" s="29">
        <v>44208.31198587214</v>
      </c>
      <c r="P42" s="30">
        <v>4.5963709670875232</v>
      </c>
      <c r="Q42" s="34">
        <v>662.09640488393973</v>
      </c>
      <c r="R42" s="40">
        <v>44.395704791257181</v>
      </c>
    </row>
    <row r="43" spans="1:18" s="76" customFormat="1" ht="12.75" x14ac:dyDescent="0.2">
      <c r="A43" s="7" t="str">
        <f>VLOOKUP("&lt;Zeilentitel_29&gt;",Uebersetzungen!$B$3:$E$63,Uebersetzungen!$B$2+1,FALSE)</f>
        <v>Obwalden</v>
      </c>
      <c r="B43" s="104">
        <v>33148.999999999534</v>
      </c>
      <c r="C43" s="29">
        <v>2035.0319403207841</v>
      </c>
      <c r="D43" s="30">
        <v>25.179803420310503</v>
      </c>
      <c r="E43" s="31">
        <v>18774.362267863155</v>
      </c>
      <c r="F43" s="30">
        <v>5.7071965750498448</v>
      </c>
      <c r="G43" s="36">
        <v>1180.9054070510761</v>
      </c>
      <c r="H43" s="37">
        <v>33.875727055125019</v>
      </c>
      <c r="I43" s="38" t="s">
        <v>1</v>
      </c>
      <c r="J43" s="30" t="s">
        <v>1</v>
      </c>
      <c r="K43" s="39">
        <v>1287.3164369284602</v>
      </c>
      <c r="L43" s="35">
        <v>33.939192212463766</v>
      </c>
      <c r="M43" s="34">
        <v>486.694920767886</v>
      </c>
      <c r="N43" s="37">
        <v>53.63865841219684</v>
      </c>
      <c r="O43" s="29">
        <v>9111.1450570891957</v>
      </c>
      <c r="P43" s="30">
        <v>10.564116589406016</v>
      </c>
      <c r="Q43" s="34">
        <v>207.86958519147771</v>
      </c>
      <c r="R43" s="40">
        <v>79.011192712444014</v>
      </c>
    </row>
    <row r="44" spans="1:18" s="76" customFormat="1" ht="12.75" x14ac:dyDescent="0.2">
      <c r="A44" s="7" t="str">
        <f>VLOOKUP("&lt;Zeilentitel_30&gt;",Uebersetzungen!$B$3:$E$63,Uebersetzungen!$B$2+1,FALSE)</f>
        <v>Nidwalden</v>
      </c>
      <c r="B44" s="104">
        <v>38597.999999999876</v>
      </c>
      <c r="C44" s="29">
        <v>2939.1047458132425</v>
      </c>
      <c r="D44" s="30">
        <v>19.828326731553421</v>
      </c>
      <c r="E44" s="31">
        <v>21988.387990062769</v>
      </c>
      <c r="F44" s="30">
        <v>4.9701504175031426</v>
      </c>
      <c r="G44" s="36">
        <v>1360.152722810295</v>
      </c>
      <c r="H44" s="37">
        <v>31.469444394626581</v>
      </c>
      <c r="I44" s="38" t="s">
        <v>1</v>
      </c>
      <c r="J44" s="30" t="s">
        <v>1</v>
      </c>
      <c r="K44" s="41">
        <v>970.13844824994624</v>
      </c>
      <c r="L44" s="35">
        <v>40.608401545386585</v>
      </c>
      <c r="M44" s="34">
        <v>300.94947734887666</v>
      </c>
      <c r="N44" s="37">
        <v>68.39601632014282</v>
      </c>
      <c r="O44" s="29">
        <v>10798.381069921119</v>
      </c>
      <c r="P44" s="30">
        <v>9.3637574861851878</v>
      </c>
      <c r="Q44" s="34">
        <v>210.47600433527893</v>
      </c>
      <c r="R44" s="40">
        <v>78.778046970160545</v>
      </c>
    </row>
    <row r="45" spans="1:18" s="76" customFormat="1" ht="12.75" x14ac:dyDescent="0.2">
      <c r="A45" s="7" t="str">
        <f>VLOOKUP("&lt;Zeilentitel_31&gt;",Uebersetzungen!$B$3:$E$63,Uebersetzungen!$B$2+1,FALSE)</f>
        <v>Zug</v>
      </c>
      <c r="B45" s="104">
        <v>111082.99999999789</v>
      </c>
      <c r="C45" s="29">
        <v>13122.206150770917</v>
      </c>
      <c r="D45" s="30">
        <v>6.5550046966700961</v>
      </c>
      <c r="E45" s="31">
        <v>46646.016014315486</v>
      </c>
      <c r="F45" s="30">
        <v>2.8558919739685211</v>
      </c>
      <c r="G45" s="29">
        <v>6192.0588284639971</v>
      </c>
      <c r="H45" s="32">
        <v>10.29650373183658</v>
      </c>
      <c r="I45" s="34">
        <v>303.33398439613069</v>
      </c>
      <c r="J45" s="35">
        <v>46.305612244132618</v>
      </c>
      <c r="K45" s="31">
        <v>4218.9148075595485</v>
      </c>
      <c r="L45" s="30">
        <v>12.802911255644242</v>
      </c>
      <c r="M45" s="29">
        <v>1675.2170511382146</v>
      </c>
      <c r="N45" s="32">
        <v>19.633146621055328</v>
      </c>
      <c r="O45" s="29">
        <v>38193.611499730221</v>
      </c>
      <c r="P45" s="30">
        <v>3.3639678550595002</v>
      </c>
      <c r="Q45" s="34">
        <v>731.64166362337278</v>
      </c>
      <c r="R45" s="40">
        <v>30.294672323726715</v>
      </c>
    </row>
    <row r="46" spans="1:18" s="76" customFormat="1" ht="13.5" thickBot="1" x14ac:dyDescent="0.25">
      <c r="A46" s="129" t="str">
        <f>VLOOKUP("&lt;Zeilentitel_32&gt;",Uebersetzungen!$B$3:$E$63,Uebersetzungen!$B$2+1,FALSE)</f>
        <v>Tessin</v>
      </c>
      <c r="B46" s="138">
        <v>308002.0000000018</v>
      </c>
      <c r="C46" s="131">
        <v>9789.2719456424547</v>
      </c>
      <c r="D46" s="132">
        <v>8.0527734896743528</v>
      </c>
      <c r="E46" s="133">
        <v>172999.85531692061</v>
      </c>
      <c r="F46" s="132">
        <v>1.2907656022211194</v>
      </c>
      <c r="G46" s="131">
        <v>17901.344345186342</v>
      </c>
      <c r="H46" s="134">
        <v>6.1733558687437986</v>
      </c>
      <c r="I46" s="135">
        <v>178.10993206159449</v>
      </c>
      <c r="J46" s="136">
        <v>64.715251787799104</v>
      </c>
      <c r="K46" s="133">
        <v>7037.7516483692807</v>
      </c>
      <c r="L46" s="132">
        <v>10.529468979783928</v>
      </c>
      <c r="M46" s="131">
        <v>2175.7857282971622</v>
      </c>
      <c r="N46" s="134">
        <v>17.727823329991068</v>
      </c>
      <c r="O46" s="131">
        <v>94116.461566383528</v>
      </c>
      <c r="P46" s="132">
        <v>2.3117454311891521</v>
      </c>
      <c r="Q46" s="131">
        <v>3803.4195171408428</v>
      </c>
      <c r="R46" s="137">
        <v>13.168140166179166</v>
      </c>
    </row>
    <row r="47" spans="1:18" s="76" customFormat="1" ht="12.75" x14ac:dyDescent="0.2">
      <c r="A47" s="8"/>
      <c r="B47" s="5"/>
      <c r="C47" s="9"/>
      <c r="D47" s="10"/>
      <c r="E47" s="10"/>
      <c r="F47" s="10"/>
      <c r="G47" s="11"/>
      <c r="H47" s="12"/>
      <c r="I47" s="11"/>
      <c r="J47" s="12"/>
      <c r="K47" s="11"/>
      <c r="L47" s="12"/>
      <c r="M47" s="11"/>
      <c r="N47" s="12"/>
      <c r="O47" s="11"/>
      <c r="P47" s="12"/>
      <c r="Q47" s="11"/>
      <c r="R47" s="12"/>
    </row>
    <row r="48" spans="1:18" s="76" customFormat="1" ht="12.75" x14ac:dyDescent="0.2">
      <c r="A48" s="16" t="str">
        <f>VLOOKUP("&lt;Legende_1&gt;",Uebersetzungen!$B$3:$E$63,Uebersetzungen!$B$2+1,FALSE)</f>
        <v xml:space="preserve">Ab 2010 stammen die Daten aus einer Stichprobenerhebung der ständigen Wohnbevölkerung ab vollendetem 15. Altersjahr, die in Privathaushalten lebt. </v>
      </c>
      <c r="B48" s="5"/>
      <c r="C48" s="9"/>
      <c r="D48" s="10"/>
      <c r="E48" s="10"/>
      <c r="F48" s="10"/>
      <c r="G48" s="11"/>
      <c r="H48" s="12"/>
      <c r="I48" s="11"/>
      <c r="J48" s="12"/>
      <c r="K48" s="11"/>
      <c r="L48" s="12"/>
      <c r="M48" s="11"/>
      <c r="N48" s="12"/>
      <c r="O48" s="11"/>
      <c r="P48" s="12"/>
      <c r="Q48" s="11"/>
      <c r="R48" s="12"/>
    </row>
    <row r="49" spans="1:18" s="76" customFormat="1" ht="12.75" x14ac:dyDescent="0.2">
      <c r="A49" s="16" t="str">
        <f>VLOOKUP("&lt;Legende_2&gt;",Uebersetzungen!$B$3:$E$63,Uebersetzungen!$B$2+1,FALSE)</f>
        <v>Nicht befragt wurden Diplomaten, internationale Funktionäre und deren Familienangehörige. Diese Daten sind mit jenen der frühreren Jahre nicht direkt vergleichbar.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s="76" customFormat="1" ht="12.75" x14ac:dyDescent="0.2">
      <c r="A50" s="16" t="str">
        <f>VLOOKUP("&lt;Legende_3&gt;",Uebersetzungen!$B$3:$E$63,Uebersetzungen!$B$2+1,FALSE)</f>
        <v>Das Vertrauensintervall zeigt die Genauigkeit der Resultate einer Stichprobenerhebung.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1:18" s="76" customFormat="1" ht="12.75" x14ac:dyDescent="0.2">
      <c r="A51" s="16" t="str">
        <f>VLOOKUP("&lt;Legende_4&gt;",Uebersetzungen!$B$3:$E$63,Uebersetzungen!$B$2+1,FALSE)</f>
        <v>(): Extrapolation aufgrund von 49 oder weniger Beobachtungen. Die Resultate sind mit grosser Vorsicht zu interpretieren.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s="76" customFormat="1" ht="12.75" x14ac:dyDescent="0.2">
      <c r="A52" s="13" t="str">
        <f>VLOOKUP("&lt;Legende_5&gt;",Uebersetzungen!$B$3:$E$63,Uebersetzungen!$B$2+1,FALSE)</f>
        <v>X: Extrapolation aufgrund von 4 oder weniger Beobachtungen. Die Resultate werden aus Gründen des Datenschutzes nicht publiziert.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s="76" customFormat="1" ht="12.75" x14ac:dyDescent="0.2">
      <c r="A53" s="13" t="str">
        <f>VLOOKUP("&lt;Legende_6&gt;",Uebersetzungen!$B$3:$E$63,Uebersetzungen!$B$2+1,FALSE)</f>
        <v>* inkl. andere aus dem Islam hervorgegangene Gemeinschaften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 s="76" customFormat="1" ht="12.75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18" s="76" customFormat="1" ht="12.75" x14ac:dyDescent="0.2">
      <c r="A55" s="16" t="str">
        <f>VLOOKUP("&lt;quelle_1&gt;",Uebersetzungen!$B$3:$E$63,Uebersetzungen!$B$2+1,FALSE)</f>
        <v>Quelle: BFS (Strukturerhebung)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8" s="76" customFormat="1" ht="12.75" x14ac:dyDescent="0.2">
      <c r="A56" s="13" t="str">
        <f>VLOOKUP("&lt;aktualisierung&gt;",Uebersetzungen!$B$3:$E$213,Uebersetzungen!$B$2+1,FALSE)</f>
        <v>Letztmals aktualisiert am: 29.01.2026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</sheetData>
  <sheetProtection sheet="1" objects="1" scenarios="1"/>
  <mergeCells count="11">
    <mergeCell ref="Q13:R13"/>
    <mergeCell ref="A7:D7"/>
    <mergeCell ref="B12:R12"/>
    <mergeCell ref="B13:B14"/>
    <mergeCell ref="C13:D13"/>
    <mergeCell ref="E13:F13"/>
    <mergeCell ref="G13:H13"/>
    <mergeCell ref="I13:J13"/>
    <mergeCell ref="K13:L13"/>
    <mergeCell ref="M13:N13"/>
    <mergeCell ref="O13:P13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Option Button 1">
              <controlPr defaultSize="0" autoFill="0" autoLine="0" autoPict="0">
                <anchor moveWithCells="1">
                  <from>
                    <xdr:col>6</xdr:col>
                    <xdr:colOff>295275</xdr:colOff>
                    <xdr:row>1</xdr:row>
                    <xdr:rowOff>114300</xdr:rowOff>
                  </from>
                  <to>
                    <xdr:col>7</xdr:col>
                    <xdr:colOff>695325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Option Button 2">
              <controlPr defaultSize="0" autoFill="0" autoLine="0" autoPict="0">
                <anchor moveWithCells="1">
                  <from>
                    <xdr:col>6</xdr:col>
                    <xdr:colOff>295275</xdr:colOff>
                    <xdr:row>2</xdr:row>
                    <xdr:rowOff>104775</xdr:rowOff>
                  </from>
                  <to>
                    <xdr:col>8</xdr:col>
                    <xdr:colOff>276225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Option Button 3">
              <controlPr defaultSize="0" autoFill="0" autoLine="0" autoPict="0">
                <anchor moveWithCells="1">
                  <from>
                    <xdr:col>6</xdr:col>
                    <xdr:colOff>295275</xdr:colOff>
                    <xdr:row>3</xdr:row>
                    <xdr:rowOff>66675</xdr:rowOff>
                  </from>
                  <to>
                    <xdr:col>7</xdr:col>
                    <xdr:colOff>695325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56"/>
  <sheetViews>
    <sheetView showGridLines="0" workbookViewId="0"/>
  </sheetViews>
  <sheetFormatPr baseColWidth="10" defaultColWidth="9.140625" defaultRowHeight="14.25" x14ac:dyDescent="0.2"/>
  <cols>
    <col min="1" max="1" width="22.7109375" style="53" customWidth="1"/>
    <col min="2" max="2" width="9.140625" style="53" customWidth="1"/>
    <col min="3" max="18" width="12.42578125" style="53" customWidth="1"/>
    <col min="19" max="16384" width="9.140625" style="77"/>
  </cols>
  <sheetData>
    <row r="1" spans="1:18" s="75" customFormat="1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75" customFormat="1" ht="15.75" x14ac:dyDescent="0.25">
      <c r="A2" s="1"/>
      <c r="B2" s="15"/>
      <c r="C2" s="53"/>
      <c r="D2" s="5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75" customFormat="1" ht="15.75" x14ac:dyDescent="0.25">
      <c r="A3" s="1"/>
      <c r="B3" s="15"/>
      <c r="C3" s="53"/>
      <c r="D3" s="5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s="75" customFormat="1" ht="15.75" x14ac:dyDescent="0.25">
      <c r="A4" s="1"/>
      <c r="B4" s="15"/>
      <c r="C4" s="53"/>
      <c r="D4" s="5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75" customFormat="1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s="75" customFormat="1" ht="12.7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s="75" customFormat="1" ht="15.75" customHeight="1" x14ac:dyDescent="0.2">
      <c r="A7" s="146" t="str">
        <f>VLOOKUP("&lt;Fachbereich&gt;",Uebersetzungen!$B$3:$E$63,Uebersetzungen!$B$2+1,FALSE)</f>
        <v>Daten &amp; Statistik</v>
      </c>
      <c r="B7" s="146"/>
      <c r="C7" s="146"/>
      <c r="D7" s="146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</row>
    <row r="8" spans="1:18" s="75" customFormat="1" ht="12.7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s="76" customFormat="1" ht="18" x14ac:dyDescent="0.2">
      <c r="A9" s="19" t="str">
        <f>VLOOKUP("&lt;Titel&gt;",Uebersetzungen!$B$3:$E$63,Uebersetzungen!$B$2+1,FALSE)</f>
        <v>Religionszugehörigkeit nach Kanton</v>
      </c>
      <c r="B9" s="54"/>
      <c r="C9" s="55"/>
      <c r="D9" s="55"/>
      <c r="E9" s="55"/>
      <c r="F9" s="55"/>
      <c r="G9" s="55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s="76" customFormat="1" ht="12.75" x14ac:dyDescent="0.2">
      <c r="A10" s="20" t="str">
        <f>VLOOKUP("&lt;UTitel&gt;",Uebersetzungen!$B$3:$E$63,Uebersetzungen!$B$2+1,FALSE)</f>
        <v>Ständige Wohnbevölkerung ab 15 Jahren</v>
      </c>
      <c r="B10" s="54"/>
      <c r="C10" s="55"/>
      <c r="D10" s="55"/>
      <c r="E10" s="55"/>
      <c r="F10" s="55"/>
      <c r="G10" s="5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8.75" thickBot="1" x14ac:dyDescent="0.3">
      <c r="B11" s="17"/>
      <c r="C11" s="18"/>
      <c r="D11" s="4"/>
      <c r="E11" s="4"/>
      <c r="F11" s="4"/>
      <c r="G11" s="4"/>
      <c r="H11" s="4"/>
      <c r="I11" s="4"/>
      <c r="J11" s="4"/>
    </row>
    <row r="12" spans="1:18" s="78" customFormat="1" ht="18" x14ac:dyDescent="0.25">
      <c r="A12" s="3"/>
      <c r="B12" s="158">
        <v>2015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60"/>
    </row>
    <row r="13" spans="1:18" s="78" customFormat="1" ht="37.5" customHeight="1" x14ac:dyDescent="0.25">
      <c r="A13" s="3"/>
      <c r="B13" s="157" t="str">
        <f>VLOOKUP("&lt;SpaltenTitel_1&gt;",Uebersetzungen!$B$3:$E$63,Uebersetzungen!$B$2+1,FALSE)</f>
        <v>Total</v>
      </c>
      <c r="C13" s="152" t="str">
        <f>VLOOKUP("&lt;SpaltenTitel_2&gt;",Uebersetzungen!$B$3:$E$63,Uebersetzungen!$B$2+1,FALSE)</f>
        <v>Evangelisch-reformiert</v>
      </c>
      <c r="D13" s="152"/>
      <c r="E13" s="152" t="str">
        <f>VLOOKUP("&lt;SpaltenTitel_3&gt;",Uebersetzungen!$B$3:$E$63,Uebersetzungen!$B$2+1,FALSE)</f>
        <v>Römisch-katholisch</v>
      </c>
      <c r="F13" s="152"/>
      <c r="G13" s="152" t="str">
        <f>VLOOKUP("&lt;SpaltenTitel_4&gt;",Uebersetzungen!$B$3:$E$63,Uebersetzungen!$B$2+1,FALSE)</f>
        <v>Andere christliche Glaubensgemeinschaften</v>
      </c>
      <c r="H13" s="152"/>
      <c r="I13" s="152" t="str">
        <f>VLOOKUP("&lt;SpaltenTitel_5&gt;",Uebersetzungen!$B$3:$E$63,Uebersetzungen!$B$2+1,FALSE)</f>
        <v>Jüdische Glaubensgemeinschaften</v>
      </c>
      <c r="J13" s="152"/>
      <c r="K13" s="152" t="str">
        <f>VLOOKUP("&lt;SpaltenTitel_6&gt;",Uebersetzungen!$B$3:$E$63,Uebersetzungen!$B$2+1,FALSE)</f>
        <v>Islamische Glaubensgem.*</v>
      </c>
      <c r="L13" s="152"/>
      <c r="M13" s="152" t="str">
        <f>VLOOKUP("&lt;SpaltenTitel_7&gt;",Uebersetzungen!$B$3:$E$63,Uebersetzungen!$B$2+1,FALSE)</f>
        <v>Andere Religionsgemeinschaften</v>
      </c>
      <c r="N13" s="152"/>
      <c r="O13" s="152" t="str">
        <f>VLOOKUP("&lt;SpaltenTitel_8&gt;",Uebersetzungen!$B$3:$E$63,Uebersetzungen!$B$2+1,FALSE)</f>
        <v>Ohne Religionszugehörigkeit</v>
      </c>
      <c r="P13" s="152"/>
      <c r="Q13" s="152" t="str">
        <f>VLOOKUP("&lt;SpaltenTitel_9&gt;",Uebersetzungen!$B$3:$E$63,Uebersetzungen!$B$2+1,FALSE)</f>
        <v>Religionszugehörigkeit unbekannt</v>
      </c>
      <c r="R13" s="153"/>
    </row>
    <row r="14" spans="1:18" s="78" customFormat="1" ht="39" thickBot="1" x14ac:dyDescent="0.3">
      <c r="A14" s="6"/>
      <c r="B14" s="151"/>
      <c r="C14" s="112" t="str">
        <f>VLOOKUP("&lt;SpaltenTitel_2.1&gt;",Uebersetzungen!$B$3:$E$63,Uebersetzungen!$B$2+1,FALSE)</f>
        <v>Anzahl Personen</v>
      </c>
      <c r="D14" s="112" t="str">
        <f>VLOOKUP("&lt;SpaltenTitel_2.2&gt;",Uebersetzungen!$B$3:$E$63,Uebersetzungen!$B$2+1,FALSE)</f>
        <v>Vertrauens- intervall:          ± (in %)</v>
      </c>
      <c r="E14" s="112" t="str">
        <f>VLOOKUP("&lt;SpaltenTitel_2.1&gt;",Uebersetzungen!$B$3:$E$63,Uebersetzungen!$B$2+1,FALSE)</f>
        <v>Anzahl Personen</v>
      </c>
      <c r="F14" s="112" t="str">
        <f>VLOOKUP("&lt;SpaltenTitel_2.2&gt;",Uebersetzungen!$B$3:$E$63,Uebersetzungen!$B$2+1,FALSE)</f>
        <v>Vertrauens- intervall:          ± (in %)</v>
      </c>
      <c r="G14" s="112" t="str">
        <f>VLOOKUP("&lt;SpaltenTitel_2.1&gt;",Uebersetzungen!$B$3:$E$63,Uebersetzungen!$B$2+1,FALSE)</f>
        <v>Anzahl Personen</v>
      </c>
      <c r="H14" s="112" t="str">
        <f>VLOOKUP("&lt;SpaltenTitel_2.2&gt;",Uebersetzungen!$B$3:$E$63,Uebersetzungen!$B$2+1,FALSE)</f>
        <v>Vertrauens- intervall:          ± (in %)</v>
      </c>
      <c r="I14" s="112" t="str">
        <f>VLOOKUP("&lt;SpaltenTitel_2.1&gt;",Uebersetzungen!$B$3:$E$63,Uebersetzungen!$B$2+1,FALSE)</f>
        <v>Anzahl Personen</v>
      </c>
      <c r="J14" s="112" t="str">
        <f>VLOOKUP("&lt;SpaltenTitel_2.2&gt;",Uebersetzungen!$B$3:$E$63,Uebersetzungen!$B$2+1,FALSE)</f>
        <v>Vertrauens- intervall:          ± (in %)</v>
      </c>
      <c r="K14" s="112" t="str">
        <f>VLOOKUP("&lt;SpaltenTitel_2.1&gt;",Uebersetzungen!$B$3:$E$63,Uebersetzungen!$B$2+1,FALSE)</f>
        <v>Anzahl Personen</v>
      </c>
      <c r="L14" s="112" t="str">
        <f>VLOOKUP("&lt;SpaltenTitel_2.2&gt;",Uebersetzungen!$B$3:$E$63,Uebersetzungen!$B$2+1,FALSE)</f>
        <v>Vertrauens- intervall:          ± (in %)</v>
      </c>
      <c r="M14" s="112" t="str">
        <f>VLOOKUP("&lt;SpaltenTitel_2.1&gt;",Uebersetzungen!$B$3:$E$63,Uebersetzungen!$B$2+1,FALSE)</f>
        <v>Anzahl Personen</v>
      </c>
      <c r="N14" s="112" t="str">
        <f>VLOOKUP("&lt;SpaltenTitel_2.2&gt;",Uebersetzungen!$B$3:$E$63,Uebersetzungen!$B$2+1,FALSE)</f>
        <v>Vertrauens- intervall:          ± (in %)</v>
      </c>
      <c r="O14" s="112" t="str">
        <f>VLOOKUP("&lt;SpaltenTitel_2.1&gt;",Uebersetzungen!$B$3:$E$63,Uebersetzungen!$B$2+1,FALSE)</f>
        <v>Anzahl Personen</v>
      </c>
      <c r="P14" s="112" t="str">
        <f>VLOOKUP("&lt;SpaltenTitel_2.2&gt;",Uebersetzungen!$B$3:$E$63,Uebersetzungen!$B$2+1,FALSE)</f>
        <v>Vertrauens- intervall:          ± (in %)</v>
      </c>
      <c r="Q14" s="112" t="str">
        <f>VLOOKUP("&lt;SpaltenTitel_2.1&gt;",Uebersetzungen!$B$3:$E$63,Uebersetzungen!$B$2+1,FALSE)</f>
        <v>Anzahl Personen</v>
      </c>
      <c r="R14" s="113" t="str">
        <f>VLOOKUP("&lt;SpaltenTitel_2.2&gt;",Uebersetzungen!$B$3:$E$63,Uebersetzungen!$B$2+1,FALSE)</f>
        <v>Vertrauens- intervall:          ± (in %)</v>
      </c>
    </row>
    <row r="15" spans="1:18" s="76" customFormat="1" ht="12.75" x14ac:dyDescent="0.2">
      <c r="A15" s="14" t="str">
        <f>VLOOKUP("&lt;Zeilentitel_1&gt;",Uebersetzungen!$B$3:$E$63,Uebersetzungen!$B$2+1,FALSE)</f>
        <v>Total</v>
      </c>
      <c r="B15" s="28">
        <v>6907818</v>
      </c>
      <c r="C15" s="108">
        <v>1722222</v>
      </c>
      <c r="D15" s="119">
        <v>0.6413226633964727</v>
      </c>
      <c r="E15" s="120">
        <v>2573443</v>
      </c>
      <c r="F15" s="119">
        <v>0.47247986452390822</v>
      </c>
      <c r="G15" s="109">
        <v>403429</v>
      </c>
      <c r="H15" s="121">
        <v>1.5948283341058773</v>
      </c>
      <c r="I15" s="109">
        <v>17250</v>
      </c>
      <c r="J15" s="119">
        <v>7.6637681159420294</v>
      </c>
      <c r="K15" s="110">
        <v>351961</v>
      </c>
      <c r="L15" s="119">
        <v>1.8183832867846152</v>
      </c>
      <c r="M15" s="109">
        <v>93396</v>
      </c>
      <c r="N15" s="121">
        <v>3.4562508030322499</v>
      </c>
      <c r="O15" s="108">
        <v>1653568</v>
      </c>
      <c r="P15" s="119">
        <v>0.68639451174671984</v>
      </c>
      <c r="Q15" s="109">
        <v>92549.081593331328</v>
      </c>
      <c r="R15" s="122">
        <v>3.2555860695768191</v>
      </c>
    </row>
    <row r="16" spans="1:18" s="76" customFormat="1" ht="12.75" x14ac:dyDescent="0.2">
      <c r="A16" s="56" t="str">
        <f>VLOOKUP("&lt;Zeilentitel_2&gt;",Uebersetzungen!$B$3:$E$63,Uebersetzungen!$B$2+1,FALSE)</f>
        <v>Genferseeregion</v>
      </c>
      <c r="B16" s="114">
        <v>1279699</v>
      </c>
      <c r="C16" s="57">
        <v>204000</v>
      </c>
      <c r="D16" s="58">
        <v>1.5867647058823529</v>
      </c>
      <c r="E16" s="59">
        <v>523209</v>
      </c>
      <c r="F16" s="58">
        <v>0.87632284612841149</v>
      </c>
      <c r="G16" s="57">
        <v>69079</v>
      </c>
      <c r="H16" s="60">
        <v>3.1688356808871005</v>
      </c>
      <c r="I16" s="57">
        <v>6150</v>
      </c>
      <c r="J16" s="58">
        <v>10.439024390243903</v>
      </c>
      <c r="K16" s="59">
        <v>60750</v>
      </c>
      <c r="L16" s="58">
        <v>3.5637860082304527</v>
      </c>
      <c r="M16" s="57">
        <v>16913</v>
      </c>
      <c r="N16" s="60">
        <v>6.4861349257967245</v>
      </c>
      <c r="O16" s="57">
        <v>370135</v>
      </c>
      <c r="P16" s="58">
        <v>1.1625487997622488</v>
      </c>
      <c r="Q16" s="57">
        <v>29462.951601127101</v>
      </c>
      <c r="R16" s="61">
        <v>4.9527060563673118</v>
      </c>
    </row>
    <row r="17" spans="1:18" s="76" customFormat="1" ht="12.75" x14ac:dyDescent="0.2">
      <c r="A17" s="7" t="str">
        <f>VLOOKUP("&lt;Zeilentitel_3&gt;",Uebersetzungen!$B$3:$E$63,Uebersetzungen!$B$2+1,FALSE)</f>
        <v>Waadt</v>
      </c>
      <c r="B17" s="115">
        <v>630312</v>
      </c>
      <c r="C17" s="29">
        <v>152724</v>
      </c>
      <c r="D17" s="30">
        <v>1.6788454990702182</v>
      </c>
      <c r="E17" s="31">
        <v>191850</v>
      </c>
      <c r="F17" s="30">
        <v>1.5069064373208234</v>
      </c>
      <c r="G17" s="29">
        <v>40792</v>
      </c>
      <c r="H17" s="32">
        <v>3.7899588154540109</v>
      </c>
      <c r="I17" s="29">
        <v>2011</v>
      </c>
      <c r="J17" s="30">
        <v>17.503729487817008</v>
      </c>
      <c r="K17" s="31">
        <v>30000</v>
      </c>
      <c r="L17" s="30">
        <v>4.6366666666666667</v>
      </c>
      <c r="M17" s="29">
        <v>9083</v>
      </c>
      <c r="N17" s="32">
        <v>8.3232412198612806</v>
      </c>
      <c r="O17" s="29">
        <v>190691</v>
      </c>
      <c r="P17" s="30">
        <v>1.5176384832005705</v>
      </c>
      <c r="Q17" s="29">
        <v>13161.209893662741</v>
      </c>
      <c r="R17" s="33">
        <v>6.7744739885631322</v>
      </c>
    </row>
    <row r="18" spans="1:18" s="76" customFormat="1" ht="12.75" x14ac:dyDescent="0.2">
      <c r="A18" s="7" t="str">
        <f>VLOOKUP("&lt;Zeilentitel_4&gt;",Uebersetzungen!$B$3:$E$63,Uebersetzungen!$B$2+1,FALSE)</f>
        <v>Wallis</v>
      </c>
      <c r="B18" s="115">
        <v>279810</v>
      </c>
      <c r="C18" s="29">
        <v>16588</v>
      </c>
      <c r="D18" s="30">
        <v>8.3614661200868099</v>
      </c>
      <c r="E18" s="31">
        <v>203768</v>
      </c>
      <c r="F18" s="30">
        <v>1.3004986062580974</v>
      </c>
      <c r="G18" s="29">
        <v>8447</v>
      </c>
      <c r="H18" s="32">
        <v>12.276547886823725</v>
      </c>
      <c r="I18" s="34">
        <v>233.20706999999999</v>
      </c>
      <c r="J18" s="35">
        <v>73.146410183876512</v>
      </c>
      <c r="K18" s="31">
        <v>8903</v>
      </c>
      <c r="L18" s="30">
        <v>12.37785016286645</v>
      </c>
      <c r="M18" s="36">
        <v>1406</v>
      </c>
      <c r="N18" s="37">
        <v>30.298719772403981</v>
      </c>
      <c r="O18" s="29">
        <v>35745</v>
      </c>
      <c r="P18" s="30">
        <v>5.6371520492376561</v>
      </c>
      <c r="Q18" s="29">
        <v>4720.6744832973927</v>
      </c>
      <c r="R18" s="33">
        <v>16.254000549124576</v>
      </c>
    </row>
    <row r="19" spans="1:18" s="76" customFormat="1" ht="12.75" x14ac:dyDescent="0.2">
      <c r="A19" s="7" t="str">
        <f>VLOOKUP("&lt;Zeilentitel_5&gt;",Uebersetzungen!$B$3:$E$63,Uebersetzungen!$B$2+1,FALSE)</f>
        <v>Genf</v>
      </c>
      <c r="B19" s="115">
        <v>369577</v>
      </c>
      <c r="C19" s="29">
        <v>34689</v>
      </c>
      <c r="D19" s="30">
        <v>4.0502753034103032</v>
      </c>
      <c r="E19" s="31">
        <v>127591</v>
      </c>
      <c r="F19" s="30">
        <v>1.8622003119342274</v>
      </c>
      <c r="G19" s="29">
        <v>19841</v>
      </c>
      <c r="H19" s="32">
        <v>5.7960788266720433</v>
      </c>
      <c r="I19" s="29">
        <v>3906</v>
      </c>
      <c r="J19" s="30">
        <v>13.056835637480798</v>
      </c>
      <c r="K19" s="31">
        <v>21847</v>
      </c>
      <c r="L19" s="30">
        <v>5.6804137867899485</v>
      </c>
      <c r="M19" s="29">
        <v>6424</v>
      </c>
      <c r="N19" s="32">
        <v>10.460772104607722</v>
      </c>
      <c r="O19" s="29">
        <v>143699</v>
      </c>
      <c r="P19" s="30">
        <v>1.7167829977939999</v>
      </c>
      <c r="Q19" s="29">
        <v>11581.067224166967</v>
      </c>
      <c r="R19" s="33">
        <v>7.4559804146089546</v>
      </c>
    </row>
    <row r="20" spans="1:18" s="76" customFormat="1" ht="12.75" x14ac:dyDescent="0.2">
      <c r="A20" s="56" t="str">
        <f>VLOOKUP("&lt;Zeilentitel_6&gt;",Uebersetzungen!$B$3:$E$63,Uebersetzungen!$B$2+1,FALSE)</f>
        <v>Espace Mittelland</v>
      </c>
      <c r="B20" s="114">
        <v>1537292</v>
      </c>
      <c r="C20" s="57">
        <v>559462</v>
      </c>
      <c r="D20" s="58">
        <v>1.0249132202008358</v>
      </c>
      <c r="E20" s="59">
        <v>444750</v>
      </c>
      <c r="F20" s="58">
        <v>1.2364249578414839</v>
      </c>
      <c r="G20" s="57">
        <v>89158</v>
      </c>
      <c r="H20" s="60">
        <v>3.5274456582695888</v>
      </c>
      <c r="I20" s="62">
        <v>1314</v>
      </c>
      <c r="J20" s="63">
        <v>29.908675799086758</v>
      </c>
      <c r="K20" s="59">
        <v>64999</v>
      </c>
      <c r="L20" s="58">
        <v>4.4292989122909585</v>
      </c>
      <c r="M20" s="57">
        <v>22323</v>
      </c>
      <c r="N20" s="60">
        <v>7.3466827935313352</v>
      </c>
      <c r="O20" s="57">
        <v>334987</v>
      </c>
      <c r="P20" s="58">
        <v>1.5884198491284738</v>
      </c>
      <c r="Q20" s="57">
        <v>20297.970614141304</v>
      </c>
      <c r="R20" s="61">
        <v>7.3584235471455104</v>
      </c>
    </row>
    <row r="21" spans="1:18" s="76" customFormat="1" ht="12.75" x14ac:dyDescent="0.2">
      <c r="A21" s="7" t="str">
        <f>VLOOKUP("&lt;Zeilentitel_7&gt;",Uebersetzungen!$B$3:$E$63,Uebersetzungen!$B$2+1,FALSE)</f>
        <v>Bern</v>
      </c>
      <c r="B21" s="115">
        <v>854618</v>
      </c>
      <c r="C21" s="29">
        <v>445157</v>
      </c>
      <c r="D21" s="30">
        <v>1.080742299907673</v>
      </c>
      <c r="E21" s="31">
        <v>135249</v>
      </c>
      <c r="F21" s="30">
        <v>2.7053804464358331</v>
      </c>
      <c r="G21" s="29">
        <v>58465</v>
      </c>
      <c r="H21" s="32">
        <v>4.3803985290344647</v>
      </c>
      <c r="I21" s="34">
        <v>836.71721000000002</v>
      </c>
      <c r="J21" s="35">
        <v>38.756557905627389</v>
      </c>
      <c r="K21" s="31">
        <v>33138</v>
      </c>
      <c r="L21" s="30">
        <v>6.1832337497736738</v>
      </c>
      <c r="M21" s="29">
        <v>14067</v>
      </c>
      <c r="N21" s="32">
        <v>9.3410108765195137</v>
      </c>
      <c r="O21" s="29">
        <v>158270</v>
      </c>
      <c r="P21" s="30">
        <v>2.4388702849560877</v>
      </c>
      <c r="Q21" s="29">
        <v>9434.7356554183534</v>
      </c>
      <c r="R21" s="33">
        <v>11.096702585138328</v>
      </c>
    </row>
    <row r="22" spans="1:18" s="76" customFormat="1" ht="12.75" x14ac:dyDescent="0.2">
      <c r="A22" s="7" t="str">
        <f>VLOOKUP("&lt;Zeilentitel_8&gt;",Uebersetzungen!$B$3:$E$63,Uebersetzungen!$B$2+1,FALSE)</f>
        <v>Freiburg</v>
      </c>
      <c r="B22" s="115">
        <v>250113</v>
      </c>
      <c r="C22" s="29">
        <v>30034</v>
      </c>
      <c r="D22" s="30">
        <v>5.8800026636478657</v>
      </c>
      <c r="E22" s="31">
        <v>154231</v>
      </c>
      <c r="F22" s="30">
        <v>1.7279275891357768</v>
      </c>
      <c r="G22" s="29">
        <v>8763</v>
      </c>
      <c r="H22" s="32">
        <v>12.050667579596029</v>
      </c>
      <c r="I22" s="34" t="s">
        <v>1</v>
      </c>
      <c r="J22" s="35" t="s">
        <v>1</v>
      </c>
      <c r="K22" s="31">
        <v>9438</v>
      </c>
      <c r="L22" s="30">
        <v>12.555626191989827</v>
      </c>
      <c r="M22" s="29">
        <v>1971</v>
      </c>
      <c r="N22" s="32">
        <v>26.585489599188229</v>
      </c>
      <c r="O22" s="29">
        <v>41158</v>
      </c>
      <c r="P22" s="30">
        <v>5.0536955148452307</v>
      </c>
      <c r="Q22" s="29">
        <v>4394.4791082952897</v>
      </c>
      <c r="R22" s="33">
        <v>16.744481301811373</v>
      </c>
    </row>
    <row r="23" spans="1:18" s="76" customFormat="1" ht="12.75" x14ac:dyDescent="0.2">
      <c r="A23" s="7" t="str">
        <f>VLOOKUP("&lt;Zeilentitel_9&gt;",Uebersetzungen!$B$3:$E$63,Uebersetzungen!$B$2+1,FALSE)</f>
        <v>Solothurn</v>
      </c>
      <c r="B23" s="115">
        <v>225152</v>
      </c>
      <c r="C23" s="29">
        <v>47936</v>
      </c>
      <c r="D23" s="30">
        <v>4.4705440587449932</v>
      </c>
      <c r="E23" s="31">
        <v>80280</v>
      </c>
      <c r="F23" s="30">
        <v>3.1763826606875933</v>
      </c>
      <c r="G23" s="29">
        <v>11471</v>
      </c>
      <c r="H23" s="32">
        <v>10.452445296835498</v>
      </c>
      <c r="I23" s="38">
        <v>201.21629999999999</v>
      </c>
      <c r="J23" s="30">
        <v>79.009662736070595</v>
      </c>
      <c r="K23" s="31">
        <v>15061</v>
      </c>
      <c r="L23" s="30">
        <v>9.6341544386162941</v>
      </c>
      <c r="M23" s="29">
        <v>3504</v>
      </c>
      <c r="N23" s="32">
        <v>19.37785388127854</v>
      </c>
      <c r="O23" s="29">
        <v>64566</v>
      </c>
      <c r="P23" s="30">
        <v>3.7512003221509769</v>
      </c>
      <c r="Q23" s="29">
        <v>2132.7642473685755</v>
      </c>
      <c r="R23" s="33">
        <v>24.601977691750548</v>
      </c>
    </row>
    <row r="24" spans="1:18" s="76" customFormat="1" ht="12.75" x14ac:dyDescent="0.2">
      <c r="A24" s="7" t="str">
        <f>VLOOKUP("&lt;Zeilentitel_10&gt;",Uebersetzungen!$B$3:$E$63,Uebersetzungen!$B$2+1,FALSE)</f>
        <v>Neuenburg</v>
      </c>
      <c r="B24" s="115">
        <v>147082</v>
      </c>
      <c r="C24" s="29">
        <v>31034</v>
      </c>
      <c r="D24" s="30">
        <v>3.8216150029000451</v>
      </c>
      <c r="E24" s="31">
        <v>34373</v>
      </c>
      <c r="F24" s="30">
        <v>3.6714863410234777</v>
      </c>
      <c r="G24" s="29">
        <v>7795</v>
      </c>
      <c r="H24" s="32">
        <v>8.6209108402822316</v>
      </c>
      <c r="I24" s="34">
        <v>151.80394000000001</v>
      </c>
      <c r="J24" s="35">
        <v>63.850213637406227</v>
      </c>
      <c r="K24" s="31">
        <v>5947</v>
      </c>
      <c r="L24" s="30">
        <v>10.408609382882124</v>
      </c>
      <c r="M24" s="29">
        <v>2078</v>
      </c>
      <c r="N24" s="32">
        <v>17.661212704523578</v>
      </c>
      <c r="O24" s="29">
        <v>62261</v>
      </c>
      <c r="P24" s="30">
        <v>2.4043944042016672</v>
      </c>
      <c r="Q24" s="29">
        <v>3443.2847463372996</v>
      </c>
      <c r="R24" s="33">
        <v>13.126840888066527</v>
      </c>
    </row>
    <row r="25" spans="1:18" s="76" customFormat="1" ht="12.75" x14ac:dyDescent="0.2">
      <c r="A25" s="7" t="str">
        <f>VLOOKUP("&lt;Zeilentitel_11&gt;",Uebersetzungen!$B$3:$E$63,Uebersetzungen!$B$2+1,FALSE)</f>
        <v>Jura</v>
      </c>
      <c r="B25" s="115">
        <v>60327</v>
      </c>
      <c r="C25" s="29">
        <v>5303</v>
      </c>
      <c r="D25" s="30">
        <v>14.689798227418443</v>
      </c>
      <c r="E25" s="31">
        <v>40617</v>
      </c>
      <c r="F25" s="30">
        <v>3.1686239751828049</v>
      </c>
      <c r="G25" s="29">
        <v>2664</v>
      </c>
      <c r="H25" s="32">
        <v>21.546546546546548</v>
      </c>
      <c r="I25" s="38" t="s">
        <v>1</v>
      </c>
      <c r="J25" s="30" t="s">
        <v>1</v>
      </c>
      <c r="K25" s="39">
        <v>1415</v>
      </c>
      <c r="L25" s="35">
        <v>31.236749116607776</v>
      </c>
      <c r="M25" s="34">
        <v>703.90984000000003</v>
      </c>
      <c r="N25" s="37">
        <v>43.342221214012291</v>
      </c>
      <c r="O25" s="29">
        <v>8732</v>
      </c>
      <c r="P25" s="30">
        <v>11.360513055428308</v>
      </c>
      <c r="Q25" s="34">
        <v>892.70685672178467</v>
      </c>
      <c r="R25" s="40">
        <v>37.775216131110859</v>
      </c>
    </row>
    <row r="26" spans="1:18" s="76" customFormat="1" ht="12.75" x14ac:dyDescent="0.2">
      <c r="A26" s="56" t="str">
        <f>VLOOKUP("&lt;Zeilentitel_12&gt;",Uebersetzungen!$B$3:$E$63,Uebersetzungen!$B$2+1,FALSE)</f>
        <v>Nordwestschweiz</v>
      </c>
      <c r="B26" s="116">
        <v>947782</v>
      </c>
      <c r="C26" s="57">
        <v>237135</v>
      </c>
      <c r="D26" s="58">
        <v>1.9663904526957217</v>
      </c>
      <c r="E26" s="59">
        <v>277332</v>
      </c>
      <c r="F26" s="58">
        <v>1.7780133558334414</v>
      </c>
      <c r="G26" s="57">
        <v>58124</v>
      </c>
      <c r="H26" s="60">
        <v>4.5901864978322209</v>
      </c>
      <c r="I26" s="57">
        <v>1944</v>
      </c>
      <c r="J26" s="58">
        <v>26.02880658436214</v>
      </c>
      <c r="K26" s="59">
        <v>61555</v>
      </c>
      <c r="L26" s="58">
        <v>4.7112338559012263</v>
      </c>
      <c r="M26" s="57">
        <v>14291</v>
      </c>
      <c r="N26" s="60">
        <v>9.6844167657966551</v>
      </c>
      <c r="O26" s="57">
        <v>286566</v>
      </c>
      <c r="P26" s="58">
        <v>1.7514289901802724</v>
      </c>
      <c r="Q26" s="57">
        <v>10835.866605144607</v>
      </c>
      <c r="R26" s="61">
        <v>10.850440536533039</v>
      </c>
    </row>
    <row r="27" spans="1:18" s="76" customFormat="1" ht="12.75" x14ac:dyDescent="0.2">
      <c r="A27" s="7" t="str">
        <f>VLOOKUP("&lt;Zeilentitel_13&gt;",Uebersetzungen!$B$3:$E$63,Uebersetzungen!$B$2+1,FALSE)</f>
        <v>Basel-Stadt</v>
      </c>
      <c r="B27" s="115">
        <v>161831</v>
      </c>
      <c r="C27" s="29">
        <v>27296</v>
      </c>
      <c r="D27" s="30">
        <v>6.2133645955451353</v>
      </c>
      <c r="E27" s="31">
        <v>28183</v>
      </c>
      <c r="F27" s="30">
        <v>6.1845793563495723</v>
      </c>
      <c r="G27" s="29">
        <v>9859</v>
      </c>
      <c r="H27" s="32">
        <v>11.481894715488385</v>
      </c>
      <c r="I27" s="34">
        <v>1094</v>
      </c>
      <c r="J27" s="35">
        <v>34.917733089579521</v>
      </c>
      <c r="K27" s="31">
        <v>13873</v>
      </c>
      <c r="L27" s="30">
        <v>9.9834210336625091</v>
      </c>
      <c r="M27" s="29">
        <v>3533</v>
      </c>
      <c r="N27" s="32">
        <v>19.98301726577979</v>
      </c>
      <c r="O27" s="29">
        <v>74825</v>
      </c>
      <c r="P27" s="30">
        <v>3.1005679919812899</v>
      </c>
      <c r="Q27" s="29">
        <v>3167.5724369755389</v>
      </c>
      <c r="R27" s="33">
        <v>20.340843561304489</v>
      </c>
    </row>
    <row r="28" spans="1:18" s="76" customFormat="1" ht="12.75" x14ac:dyDescent="0.2">
      <c r="A28" s="7" t="str">
        <f>VLOOKUP("&lt;Zeilentitel_14&gt;",Uebersetzungen!$B$3:$E$63,Uebersetzungen!$B$2+1,FALSE)</f>
        <v>Basel-Landschaft</v>
      </c>
      <c r="B28" s="115">
        <v>239045</v>
      </c>
      <c r="C28" s="29">
        <v>72465</v>
      </c>
      <c r="D28" s="30">
        <v>3.4071620782446703</v>
      </c>
      <c r="E28" s="31">
        <v>66432</v>
      </c>
      <c r="F28" s="30">
        <v>3.635296242774567</v>
      </c>
      <c r="G28" s="29">
        <v>12755</v>
      </c>
      <c r="H28" s="32">
        <v>9.6040768326146608</v>
      </c>
      <c r="I28" s="34">
        <v>412.85406</v>
      </c>
      <c r="J28" s="35">
        <v>53.707670938248732</v>
      </c>
      <c r="K28" s="31">
        <v>12057</v>
      </c>
      <c r="L28" s="30">
        <v>10.525006220452848</v>
      </c>
      <c r="M28" s="29">
        <v>3463</v>
      </c>
      <c r="N28" s="32">
        <v>20.040427375108287</v>
      </c>
      <c r="O28" s="29">
        <v>68312</v>
      </c>
      <c r="P28" s="30">
        <v>3.6069797400163952</v>
      </c>
      <c r="Q28" s="29">
        <v>3147.1519971008729</v>
      </c>
      <c r="R28" s="33">
        <v>19.778158580565293</v>
      </c>
    </row>
    <row r="29" spans="1:18" s="76" customFormat="1" ht="12.75" x14ac:dyDescent="0.2">
      <c r="A29" s="7" t="str">
        <f>VLOOKUP("&lt;Zeilentitel_15&gt;",Uebersetzungen!$B$3:$E$63,Uebersetzungen!$B$2+1,FALSE)</f>
        <v>Aargau</v>
      </c>
      <c r="B29" s="115">
        <v>546906</v>
      </c>
      <c r="C29" s="29">
        <v>137373</v>
      </c>
      <c r="D29" s="30">
        <v>2.6024036746667831</v>
      </c>
      <c r="E29" s="31">
        <v>182717</v>
      </c>
      <c r="F29" s="30">
        <v>2.1508671880558459</v>
      </c>
      <c r="G29" s="29">
        <v>35509</v>
      </c>
      <c r="H29" s="32">
        <v>5.8661184488439551</v>
      </c>
      <c r="I29" s="34">
        <v>436.56849999999997</v>
      </c>
      <c r="J29" s="35">
        <v>56.965809489232512</v>
      </c>
      <c r="K29" s="31">
        <v>35625</v>
      </c>
      <c r="L29" s="30">
        <v>6.2007017543859648</v>
      </c>
      <c r="M29" s="29">
        <v>7296</v>
      </c>
      <c r="N29" s="32">
        <v>13.253837719298245</v>
      </c>
      <c r="O29" s="29">
        <v>143428</v>
      </c>
      <c r="P29" s="30">
        <v>2.5845720500878491</v>
      </c>
      <c r="Q29" s="29">
        <v>4521.1421710681952</v>
      </c>
      <c r="R29" s="33">
        <v>16.841659288369236</v>
      </c>
    </row>
    <row r="30" spans="1:18" s="76" customFormat="1" ht="12.75" x14ac:dyDescent="0.2">
      <c r="A30" s="7" t="str">
        <f>VLOOKUP("&lt;Zeilentitel_16&gt;",Uebersetzungen!$B$3:$E$63,Uebersetzungen!$B$2+1,FALSE)</f>
        <v>Zürich</v>
      </c>
      <c r="B30" s="117">
        <v>1219618</v>
      </c>
      <c r="C30" s="29">
        <v>361295</v>
      </c>
      <c r="D30" s="30">
        <v>1.5339265697006601</v>
      </c>
      <c r="E30" s="31">
        <v>330740</v>
      </c>
      <c r="F30" s="30">
        <v>1.6750317469915947</v>
      </c>
      <c r="G30" s="29">
        <v>85303</v>
      </c>
      <c r="H30" s="32">
        <v>3.7513334818236168</v>
      </c>
      <c r="I30" s="29">
        <v>6045</v>
      </c>
      <c r="J30" s="30">
        <v>14.540942928039701</v>
      </c>
      <c r="K30" s="31">
        <v>76180</v>
      </c>
      <c r="L30" s="30">
        <v>4.1808873720136512</v>
      </c>
      <c r="M30" s="29">
        <v>20002</v>
      </c>
      <c r="N30" s="32">
        <v>8.0941905809419055</v>
      </c>
      <c r="O30" s="29">
        <v>328713</v>
      </c>
      <c r="P30" s="30">
        <v>1.6899240370779371</v>
      </c>
      <c r="Q30" s="29">
        <v>11340.501446931388</v>
      </c>
      <c r="R30" s="33">
        <v>10.615211535240576</v>
      </c>
    </row>
    <row r="31" spans="1:18" s="76" customFormat="1" ht="12.75" x14ac:dyDescent="0.2">
      <c r="A31" s="56" t="str">
        <f>VLOOKUP("&lt;Zeilentitel_17&gt;",Uebersetzungen!$B$3:$E$63,Uebersetzungen!$B$2+1,FALSE)</f>
        <v>Ostschweiz</v>
      </c>
      <c r="B31" s="114">
        <v>965619</v>
      </c>
      <c r="C31" s="57">
        <v>274369</v>
      </c>
      <c r="D31" s="58">
        <v>1.643042763577518</v>
      </c>
      <c r="E31" s="59">
        <v>387275</v>
      </c>
      <c r="F31" s="58">
        <v>1.297785811116132</v>
      </c>
      <c r="G31" s="57">
        <v>57325</v>
      </c>
      <c r="H31" s="60">
        <v>4.3227213257740953</v>
      </c>
      <c r="I31" s="64">
        <v>686.53440999999998</v>
      </c>
      <c r="J31" s="63">
        <v>39.387081850711617</v>
      </c>
      <c r="K31" s="59">
        <v>56702</v>
      </c>
      <c r="L31" s="58">
        <v>4.6047758456491827</v>
      </c>
      <c r="M31" s="57">
        <v>10768</v>
      </c>
      <c r="N31" s="60">
        <v>10.568350668647845</v>
      </c>
      <c r="O31" s="57">
        <v>169332</v>
      </c>
      <c r="P31" s="58">
        <v>2.3309238655422484</v>
      </c>
      <c r="Q31" s="57">
        <v>9161.1038478528189</v>
      </c>
      <c r="R31" s="61">
        <v>11.316050566061788</v>
      </c>
    </row>
    <row r="32" spans="1:18" s="76" customFormat="1" ht="12.75" x14ac:dyDescent="0.2">
      <c r="A32" s="7" t="str">
        <f>VLOOKUP("&lt;Zeilentitel_18&gt;",Uebersetzungen!$B$3:$E$63,Uebersetzungen!$B$2+1,FALSE)</f>
        <v>Glarus</v>
      </c>
      <c r="B32" s="115">
        <v>33591</v>
      </c>
      <c r="C32" s="29">
        <v>11095</v>
      </c>
      <c r="D32" s="30">
        <v>8.6795853988283014</v>
      </c>
      <c r="E32" s="31">
        <v>11928</v>
      </c>
      <c r="F32" s="30">
        <v>8.3584842387659286</v>
      </c>
      <c r="G32" s="36">
        <v>1251</v>
      </c>
      <c r="H32" s="37">
        <v>32.294164668265388</v>
      </c>
      <c r="I32" s="38" t="s">
        <v>1</v>
      </c>
      <c r="J32" s="30" t="s">
        <v>1</v>
      </c>
      <c r="K32" s="31">
        <v>2600</v>
      </c>
      <c r="L32" s="30">
        <v>23.23076923076923</v>
      </c>
      <c r="M32" s="34">
        <v>520.54494999999997</v>
      </c>
      <c r="N32" s="37">
        <v>52.336208429262456</v>
      </c>
      <c r="O32" s="29">
        <v>5957</v>
      </c>
      <c r="P32" s="30">
        <v>13.563874433439652</v>
      </c>
      <c r="Q32" s="38">
        <v>207.33116485854038</v>
      </c>
      <c r="R32" s="33">
        <v>80.867730110767653</v>
      </c>
    </row>
    <row r="33" spans="1:18" s="76" customFormat="1" ht="12.75" x14ac:dyDescent="0.2">
      <c r="A33" s="7" t="str">
        <f>VLOOKUP("&lt;Zeilentitel_19&gt;",Uebersetzungen!$B$3:$E$63,Uebersetzungen!$B$2+1,FALSE)</f>
        <v>Schaffhausen</v>
      </c>
      <c r="B33" s="115">
        <v>67434</v>
      </c>
      <c r="C33" s="29">
        <v>24440</v>
      </c>
      <c r="D33" s="30">
        <v>5.5032733224222588</v>
      </c>
      <c r="E33" s="31">
        <v>15245</v>
      </c>
      <c r="F33" s="30">
        <v>7.969826172515579</v>
      </c>
      <c r="G33" s="29">
        <v>4834</v>
      </c>
      <c r="H33" s="32">
        <v>15.535788167149359</v>
      </c>
      <c r="I33" s="38" t="s">
        <v>1</v>
      </c>
      <c r="J33" s="30" t="s">
        <v>1</v>
      </c>
      <c r="K33" s="31">
        <v>5531</v>
      </c>
      <c r="L33" s="30">
        <v>15.838003977580909</v>
      </c>
      <c r="M33" s="36">
        <v>989.88468999999998</v>
      </c>
      <c r="N33" s="37">
        <v>37.288717941480641</v>
      </c>
      <c r="O33" s="29">
        <v>15552</v>
      </c>
      <c r="P33" s="30">
        <v>7.908950617283951</v>
      </c>
      <c r="Q33" s="34">
        <v>805.09254941996687</v>
      </c>
      <c r="R33" s="40">
        <v>38.488853654544059</v>
      </c>
    </row>
    <row r="34" spans="1:18" s="76" customFormat="1" ht="12.75" x14ac:dyDescent="0.2">
      <c r="A34" s="7" t="str">
        <f>VLOOKUP("&lt;Zeilentitel_20&gt;",Uebersetzungen!$B$3:$E$63,Uebersetzungen!$B$2+1,FALSE)</f>
        <v>Appenzell Ausserrhoden</v>
      </c>
      <c r="B34" s="115">
        <v>45626</v>
      </c>
      <c r="C34" s="29">
        <v>18309</v>
      </c>
      <c r="D34" s="30">
        <v>6.29198754710798</v>
      </c>
      <c r="E34" s="31">
        <v>13053</v>
      </c>
      <c r="F34" s="30">
        <v>8.1130774534589758</v>
      </c>
      <c r="G34" s="29">
        <v>3641</v>
      </c>
      <c r="H34" s="32">
        <v>17.742378467453996</v>
      </c>
      <c r="I34" s="38" t="s">
        <v>1</v>
      </c>
      <c r="J34" s="30" t="s">
        <v>1</v>
      </c>
      <c r="K34" s="39">
        <v>1318</v>
      </c>
      <c r="L34" s="35">
        <v>31.411229135053109</v>
      </c>
      <c r="M34" s="34">
        <v>500.05241000000001</v>
      </c>
      <c r="N34" s="37">
        <v>49.959693224956162</v>
      </c>
      <c r="O34" s="29">
        <v>8423</v>
      </c>
      <c r="P34" s="30">
        <v>10.874985159681824</v>
      </c>
      <c r="Q34" s="34">
        <v>317.54289642566067</v>
      </c>
      <c r="R34" s="40">
        <v>60.930949018482025</v>
      </c>
    </row>
    <row r="35" spans="1:18" s="76" customFormat="1" ht="12.75" x14ac:dyDescent="0.2">
      <c r="A35" s="7" t="str">
        <f>VLOOKUP("&lt;Zeilentitel_21&gt;",Uebersetzungen!$B$3:$E$63,Uebersetzungen!$B$2+1,FALSE)</f>
        <v>Appenzell Innerrhoden</v>
      </c>
      <c r="B35" s="115">
        <v>13179</v>
      </c>
      <c r="C35" s="29">
        <v>1496</v>
      </c>
      <c r="D35" s="30">
        <v>27.406417112299465</v>
      </c>
      <c r="E35" s="31">
        <v>9520</v>
      </c>
      <c r="F35" s="30">
        <v>6.2815126050420167</v>
      </c>
      <c r="G35" s="34">
        <v>565.57835999999998</v>
      </c>
      <c r="H35" s="37">
        <v>47.683169844051328</v>
      </c>
      <c r="I35" s="38" t="s">
        <v>1</v>
      </c>
      <c r="J35" s="30" t="s">
        <v>1</v>
      </c>
      <c r="K35" s="41">
        <v>320.16406000000001</v>
      </c>
      <c r="L35" s="35">
        <v>63.902712877891396</v>
      </c>
      <c r="M35" s="34" t="s">
        <v>1</v>
      </c>
      <c r="N35" s="37" t="s">
        <v>1</v>
      </c>
      <c r="O35" s="36">
        <v>1088</v>
      </c>
      <c r="P35" s="35">
        <v>32.169117647058826</v>
      </c>
      <c r="Q35" s="38">
        <v>188.79088830606739</v>
      </c>
      <c r="R35" s="33">
        <v>86.473700735160179</v>
      </c>
    </row>
    <row r="36" spans="1:18" s="76" customFormat="1" ht="12.75" x14ac:dyDescent="0.2">
      <c r="A36" s="7" t="str">
        <f>VLOOKUP("&lt;Zeilentitel_22&gt;",Uebersetzungen!$B$3:$E$63,Uebersetzungen!$B$2+1,FALSE)</f>
        <v>St. Gallen</v>
      </c>
      <c r="B36" s="115">
        <v>414554</v>
      </c>
      <c r="C36" s="29">
        <v>88389</v>
      </c>
      <c r="D36" s="30">
        <v>3.3148921245856382</v>
      </c>
      <c r="E36" s="31">
        <v>188894</v>
      </c>
      <c r="F36" s="30">
        <v>1.9063601808421655</v>
      </c>
      <c r="G36" s="29">
        <v>26224</v>
      </c>
      <c r="H36" s="32">
        <v>6.8830079316656496</v>
      </c>
      <c r="I36" s="34">
        <v>265.82897000000003</v>
      </c>
      <c r="J36" s="35">
        <v>68.300095358304986</v>
      </c>
      <c r="K36" s="31">
        <v>30284</v>
      </c>
      <c r="L36" s="30">
        <v>6.7197199841500463</v>
      </c>
      <c r="M36" s="29">
        <v>5158</v>
      </c>
      <c r="N36" s="32">
        <v>15.897634742148121</v>
      </c>
      <c r="O36" s="29">
        <v>71183</v>
      </c>
      <c r="P36" s="30">
        <v>3.878735091243696</v>
      </c>
      <c r="Q36" s="29">
        <v>4157.1067325201202</v>
      </c>
      <c r="R36" s="33">
        <v>17.835820547255036</v>
      </c>
    </row>
    <row r="37" spans="1:18" s="76" customFormat="1" ht="12.75" x14ac:dyDescent="0.2">
      <c r="A37" s="65" t="str">
        <f>VLOOKUP("&lt;Zeilentitel_23&gt;",Uebersetzungen!$B$3:$E$63,Uebersetzungen!$B$2+1,FALSE)</f>
        <v>Graubünden</v>
      </c>
      <c r="B37" s="118">
        <v>167918</v>
      </c>
      <c r="C37" s="66">
        <v>54894</v>
      </c>
      <c r="D37" s="67">
        <v>3.8765621015047178</v>
      </c>
      <c r="E37" s="68">
        <v>75695</v>
      </c>
      <c r="F37" s="67">
        <v>3.0398309003236674</v>
      </c>
      <c r="G37" s="66">
        <v>6709</v>
      </c>
      <c r="H37" s="69">
        <v>13.698017588314205</v>
      </c>
      <c r="I37" s="70" t="s">
        <v>1</v>
      </c>
      <c r="J37" s="67" t="s">
        <v>1</v>
      </c>
      <c r="K37" s="68">
        <v>2972</v>
      </c>
      <c r="L37" s="67">
        <v>21.938088829071329</v>
      </c>
      <c r="M37" s="71">
        <v>1400</v>
      </c>
      <c r="N37" s="72">
        <v>32.214285714285715</v>
      </c>
      <c r="O37" s="66">
        <v>24324</v>
      </c>
      <c r="P37" s="67">
        <v>6.7176451241572108</v>
      </c>
      <c r="Q37" s="73">
        <v>1825.1176081152657</v>
      </c>
      <c r="R37" s="74">
        <v>26.531951496136582</v>
      </c>
    </row>
    <row r="38" spans="1:18" s="76" customFormat="1" ht="12.75" x14ac:dyDescent="0.2">
      <c r="A38" s="7" t="str">
        <f>VLOOKUP("&lt;Zeilentitel_24&gt;",Uebersetzungen!$B$3:$E$63,Uebersetzungen!$B$2+1,FALSE)</f>
        <v>Thurgau</v>
      </c>
      <c r="B38" s="115">
        <v>223317</v>
      </c>
      <c r="C38" s="29">
        <v>75746</v>
      </c>
      <c r="D38" s="30">
        <v>2.2747075753175086</v>
      </c>
      <c r="E38" s="31">
        <v>72939</v>
      </c>
      <c r="F38" s="30">
        <v>2.3937811047587711</v>
      </c>
      <c r="G38" s="29">
        <v>14101</v>
      </c>
      <c r="H38" s="32">
        <v>6.4038011488546918</v>
      </c>
      <c r="I38" s="34">
        <v>191.81193999999999</v>
      </c>
      <c r="J38" s="35">
        <v>57.407787023060209</v>
      </c>
      <c r="K38" s="31">
        <v>13676</v>
      </c>
      <c r="L38" s="30">
        <v>6.9537876572097108</v>
      </c>
      <c r="M38" s="29">
        <v>2200</v>
      </c>
      <c r="N38" s="32">
        <v>17.31818181818182</v>
      </c>
      <c r="O38" s="29">
        <v>42803</v>
      </c>
      <c r="P38" s="30">
        <v>3.4366749994159287</v>
      </c>
      <c r="Q38" s="29">
        <v>1660.1220082071973</v>
      </c>
      <c r="R38" s="33">
        <v>19.260155887589441</v>
      </c>
    </row>
    <row r="39" spans="1:18" s="76" customFormat="1" ht="12.75" x14ac:dyDescent="0.2">
      <c r="A39" s="56" t="str">
        <f>VLOOKUP("&lt;Zeilentitel_25&gt;",Uebersetzungen!$B$3:$E$63,Uebersetzungen!$B$2+1,FALSE)</f>
        <v>Zentralschweiz</v>
      </c>
      <c r="B39" s="116">
        <v>658986</v>
      </c>
      <c r="C39" s="57">
        <v>73564</v>
      </c>
      <c r="D39" s="58">
        <v>3.089826545592953</v>
      </c>
      <c r="E39" s="59">
        <v>407675</v>
      </c>
      <c r="F39" s="58">
        <v>0.86294229472005879</v>
      </c>
      <c r="G39" s="57">
        <v>28029</v>
      </c>
      <c r="H39" s="60">
        <v>5.3123550608298551</v>
      </c>
      <c r="I39" s="64">
        <v>504.06882000000002</v>
      </c>
      <c r="J39" s="63">
        <v>38.907520604031795</v>
      </c>
      <c r="K39" s="59">
        <v>25815</v>
      </c>
      <c r="L39" s="58">
        <v>5.7640906449738525</v>
      </c>
      <c r="M39" s="57">
        <v>7387</v>
      </c>
      <c r="N39" s="60">
        <v>10.328956274536347</v>
      </c>
      <c r="O39" s="57">
        <v>110778</v>
      </c>
      <c r="P39" s="58">
        <v>2.4905667190236329</v>
      </c>
      <c r="Q39" s="57">
        <v>5233.1417680358791</v>
      </c>
      <c r="R39" s="61">
        <v>12.757539237962032</v>
      </c>
    </row>
    <row r="40" spans="1:18" s="76" customFormat="1" ht="12.75" x14ac:dyDescent="0.2">
      <c r="A40" s="7" t="str">
        <f>VLOOKUP("&lt;Zeilentitel_26&gt;",Uebersetzungen!$B$3:$E$63,Uebersetzungen!$B$2+1,FALSE)</f>
        <v>Luzern</v>
      </c>
      <c r="B40" s="115">
        <v>331437</v>
      </c>
      <c r="C40" s="29">
        <v>35296</v>
      </c>
      <c r="D40" s="30">
        <v>3.9126246600181327</v>
      </c>
      <c r="E40" s="31">
        <v>206702</v>
      </c>
      <c r="F40" s="30">
        <v>1.0532070323460827</v>
      </c>
      <c r="G40" s="29">
        <v>14071</v>
      </c>
      <c r="H40" s="32">
        <v>6.6590860635349305</v>
      </c>
      <c r="I40" s="34">
        <v>247.25065000000001</v>
      </c>
      <c r="J40" s="35">
        <v>51.490631066086181</v>
      </c>
      <c r="K40" s="31">
        <v>14310</v>
      </c>
      <c r="L40" s="30">
        <v>6.8273934311670157</v>
      </c>
      <c r="M40" s="29">
        <v>4216</v>
      </c>
      <c r="N40" s="32">
        <v>12.357685009487666</v>
      </c>
      <c r="O40" s="29">
        <v>54229</v>
      </c>
      <c r="P40" s="30">
        <v>3.1145696951815451</v>
      </c>
      <c r="Q40" s="29">
        <v>2365.0406911361488</v>
      </c>
      <c r="R40" s="33">
        <v>16.4913819651631</v>
      </c>
    </row>
    <row r="41" spans="1:18" s="76" customFormat="1" ht="12.75" x14ac:dyDescent="0.2">
      <c r="A41" s="7" t="str">
        <f>VLOOKUP("&lt;Zeilentitel_27&gt;",Uebersetzungen!$B$3:$E$63,Uebersetzungen!$B$2+1,FALSE)</f>
        <v>Uri</v>
      </c>
      <c r="B41" s="115">
        <v>29895</v>
      </c>
      <c r="C41" s="34">
        <v>1552</v>
      </c>
      <c r="D41" s="35">
        <v>27.255154639175256</v>
      </c>
      <c r="E41" s="31">
        <v>23582</v>
      </c>
      <c r="F41" s="30">
        <v>3.4051395131880247</v>
      </c>
      <c r="G41" s="34">
        <v>971.42886999999996</v>
      </c>
      <c r="H41" s="37">
        <v>34.544076294541256</v>
      </c>
      <c r="I41" s="29" t="s">
        <v>1</v>
      </c>
      <c r="J41" s="30" t="s">
        <v>1</v>
      </c>
      <c r="K41" s="41">
        <v>316.60424</v>
      </c>
      <c r="L41" s="35">
        <v>61.463895745679217</v>
      </c>
      <c r="M41" s="34">
        <v>260.08136000000002</v>
      </c>
      <c r="N41" s="37">
        <v>69.91772497652272</v>
      </c>
      <c r="O41" s="29">
        <v>2917</v>
      </c>
      <c r="P41" s="30">
        <v>19.06067877956805</v>
      </c>
      <c r="Q41" s="38">
        <v>295.06606371717589</v>
      </c>
      <c r="R41" s="33">
        <v>64.371995664017177</v>
      </c>
    </row>
    <row r="42" spans="1:18" s="76" customFormat="1" ht="12.75" x14ac:dyDescent="0.2">
      <c r="A42" s="7" t="str">
        <f>VLOOKUP("&lt;Zeilentitel_28&gt;",Uebersetzungen!$B$3:$E$63,Uebersetzungen!$B$2+1,FALSE)</f>
        <v>Schwyz</v>
      </c>
      <c r="B42" s="115">
        <v>129023</v>
      </c>
      <c r="C42" s="29">
        <v>15388</v>
      </c>
      <c r="D42" s="30">
        <v>8.305172861970366</v>
      </c>
      <c r="E42" s="31">
        <v>79540</v>
      </c>
      <c r="F42" s="30">
        <v>2.4251948705054058</v>
      </c>
      <c r="G42" s="29">
        <v>5212</v>
      </c>
      <c r="H42" s="32">
        <v>15.406753645433616</v>
      </c>
      <c r="I42" s="34" t="s">
        <v>1</v>
      </c>
      <c r="J42" s="35" t="s">
        <v>1</v>
      </c>
      <c r="K42" s="31">
        <v>5049</v>
      </c>
      <c r="L42" s="30">
        <v>16.755793226381464</v>
      </c>
      <c r="M42" s="36">
        <v>743.31776000000002</v>
      </c>
      <c r="N42" s="37">
        <v>42.469352541771634</v>
      </c>
      <c r="O42" s="29">
        <v>22012</v>
      </c>
      <c r="P42" s="30">
        <v>6.9462111575504277</v>
      </c>
      <c r="Q42" s="34">
        <v>1010.6392777473388</v>
      </c>
      <c r="R42" s="40">
        <v>35.266547737471591</v>
      </c>
    </row>
    <row r="43" spans="1:18" s="76" customFormat="1" ht="12.75" x14ac:dyDescent="0.2">
      <c r="A43" s="7" t="str">
        <f>VLOOKUP("&lt;Zeilentitel_29&gt;",Uebersetzungen!$B$3:$E$63,Uebersetzungen!$B$2+1,FALSE)</f>
        <v>Obwalden</v>
      </c>
      <c r="B43" s="115">
        <v>30927</v>
      </c>
      <c r="C43" s="29">
        <v>2318</v>
      </c>
      <c r="D43" s="30">
        <v>21.699741156169111</v>
      </c>
      <c r="E43" s="31">
        <v>22510</v>
      </c>
      <c r="F43" s="30">
        <v>3.8693913816081742</v>
      </c>
      <c r="G43" s="34">
        <v>726.52665999999999</v>
      </c>
      <c r="H43" s="37">
        <v>39.981098560099646</v>
      </c>
      <c r="I43" s="38" t="s">
        <v>1</v>
      </c>
      <c r="J43" s="30" t="s">
        <v>1</v>
      </c>
      <c r="K43" s="39">
        <v>776.64490000000001</v>
      </c>
      <c r="L43" s="35">
        <v>40.991075844314437</v>
      </c>
      <c r="M43" s="34">
        <v>354.32555000000002</v>
      </c>
      <c r="N43" s="37">
        <v>58.1744246216509</v>
      </c>
      <c r="O43" s="29">
        <v>3886</v>
      </c>
      <c r="P43" s="30">
        <v>16.443643849716931</v>
      </c>
      <c r="Q43" s="34">
        <v>324.39704782079048</v>
      </c>
      <c r="R43" s="40">
        <v>61.002403668069469</v>
      </c>
    </row>
    <row r="44" spans="1:18" s="76" customFormat="1" ht="12.75" x14ac:dyDescent="0.2">
      <c r="A44" s="7" t="str">
        <f>VLOOKUP("&lt;Zeilentitel_30&gt;",Uebersetzungen!$B$3:$E$63,Uebersetzungen!$B$2+1,FALSE)</f>
        <v>Nidwalden</v>
      </c>
      <c r="B44" s="115">
        <v>36077</v>
      </c>
      <c r="C44" s="29">
        <v>4098</v>
      </c>
      <c r="D44" s="30">
        <v>15.934602244997558</v>
      </c>
      <c r="E44" s="31">
        <v>23974</v>
      </c>
      <c r="F44" s="30">
        <v>4.1419871527488112</v>
      </c>
      <c r="G44" s="34">
        <v>1055</v>
      </c>
      <c r="H44" s="37">
        <v>34.123222748815166</v>
      </c>
      <c r="I44" s="38" t="s">
        <v>1</v>
      </c>
      <c r="J44" s="30" t="s">
        <v>1</v>
      </c>
      <c r="K44" s="41">
        <v>788.43897000000004</v>
      </c>
      <c r="L44" s="35">
        <v>40.530851741130952</v>
      </c>
      <c r="M44" s="38">
        <v>254.39944</v>
      </c>
      <c r="N44" s="32">
        <v>74.375144064782546</v>
      </c>
      <c r="O44" s="29">
        <v>5630</v>
      </c>
      <c r="P44" s="30">
        <v>13.570159857904084</v>
      </c>
      <c r="Q44" s="34">
        <v>277.81590417468283</v>
      </c>
      <c r="R44" s="40">
        <v>64.199219131327553</v>
      </c>
    </row>
    <row r="45" spans="1:18" s="76" customFormat="1" ht="12.75" x14ac:dyDescent="0.2">
      <c r="A45" s="7" t="str">
        <f>VLOOKUP("&lt;Zeilentitel_31&gt;",Uebersetzungen!$B$3:$E$63,Uebersetzungen!$B$2+1,FALSE)</f>
        <v>Zug</v>
      </c>
      <c r="B45" s="115">
        <v>101627</v>
      </c>
      <c r="C45" s="29">
        <v>14912</v>
      </c>
      <c r="D45" s="30">
        <v>5.8811695278969953</v>
      </c>
      <c r="E45" s="31">
        <v>51365</v>
      </c>
      <c r="F45" s="30">
        <v>2.4140952010123624</v>
      </c>
      <c r="G45" s="29">
        <v>5993</v>
      </c>
      <c r="H45" s="32">
        <v>10.111797096612715</v>
      </c>
      <c r="I45" s="34">
        <v>158.02342999999999</v>
      </c>
      <c r="J45" s="35">
        <v>63.656826079525054</v>
      </c>
      <c r="K45" s="31">
        <v>4575</v>
      </c>
      <c r="L45" s="30">
        <v>12</v>
      </c>
      <c r="M45" s="29">
        <v>1559</v>
      </c>
      <c r="N45" s="32">
        <v>20.333547145606158</v>
      </c>
      <c r="O45" s="29">
        <v>22104</v>
      </c>
      <c r="P45" s="30">
        <v>4.7864639884183857</v>
      </c>
      <c r="Q45" s="34">
        <v>960.18278343974248</v>
      </c>
      <c r="R45" s="40">
        <v>25.406921173826486</v>
      </c>
    </row>
    <row r="46" spans="1:18" s="76" customFormat="1" ht="13.5" thickBot="1" x14ac:dyDescent="0.25">
      <c r="A46" s="129" t="str">
        <f>VLOOKUP("&lt;Zeilentitel_32&gt;",Uebersetzungen!$B$3:$E$63,Uebersetzungen!$B$2+1,FALSE)</f>
        <v>Tessin</v>
      </c>
      <c r="B46" s="130">
        <v>298822</v>
      </c>
      <c r="C46" s="131">
        <v>12397</v>
      </c>
      <c r="D46" s="132">
        <v>6.7677663950955882</v>
      </c>
      <c r="E46" s="133">
        <v>202463</v>
      </c>
      <c r="F46" s="132">
        <v>0.97943821834112899</v>
      </c>
      <c r="G46" s="131">
        <v>16411</v>
      </c>
      <c r="H46" s="134">
        <v>6.0873804155749198</v>
      </c>
      <c r="I46" s="135">
        <v>607.42782</v>
      </c>
      <c r="J46" s="136">
        <v>32.448648795835531</v>
      </c>
      <c r="K46" s="133">
        <v>5959</v>
      </c>
      <c r="L46" s="132">
        <v>10.773619734854842</v>
      </c>
      <c r="M46" s="131">
        <v>1711</v>
      </c>
      <c r="N46" s="134">
        <v>19.34541203974284</v>
      </c>
      <c r="O46" s="131">
        <v>53057</v>
      </c>
      <c r="P46" s="132">
        <v>3.1174020393162074</v>
      </c>
      <c r="Q46" s="131">
        <v>6217.5457100982339</v>
      </c>
      <c r="R46" s="137">
        <v>9.7319213917457557</v>
      </c>
    </row>
    <row r="47" spans="1:18" s="76" customFormat="1" ht="12.75" x14ac:dyDescent="0.2">
      <c r="A47" s="8"/>
      <c r="B47" s="5"/>
      <c r="C47" s="9"/>
      <c r="D47" s="10"/>
      <c r="E47" s="10"/>
      <c r="F47" s="10"/>
      <c r="G47" s="11"/>
      <c r="H47" s="12"/>
      <c r="I47" s="11"/>
      <c r="J47" s="12"/>
      <c r="K47" s="11"/>
      <c r="L47" s="12"/>
      <c r="M47" s="11"/>
      <c r="N47" s="12"/>
      <c r="O47" s="11"/>
      <c r="P47" s="12"/>
      <c r="Q47" s="11"/>
      <c r="R47" s="12"/>
    </row>
    <row r="48" spans="1:18" s="76" customFormat="1" ht="12.75" x14ac:dyDescent="0.2">
      <c r="A48" s="16" t="str">
        <f>VLOOKUP("&lt;Legende_1&gt;",Uebersetzungen!$B$3:$E$63,Uebersetzungen!$B$2+1,FALSE)</f>
        <v xml:space="preserve">Ab 2010 stammen die Daten aus einer Stichprobenerhebung der ständigen Wohnbevölkerung ab vollendetem 15. Altersjahr, die in Privathaushalten lebt. </v>
      </c>
      <c r="B48" s="5"/>
      <c r="C48" s="9"/>
      <c r="D48" s="10"/>
      <c r="E48" s="10"/>
      <c r="F48" s="10"/>
      <c r="G48" s="11"/>
      <c r="H48" s="12"/>
      <c r="I48" s="11"/>
      <c r="J48" s="12"/>
      <c r="K48" s="11"/>
      <c r="L48" s="12"/>
      <c r="M48" s="11"/>
      <c r="N48" s="12"/>
      <c r="O48" s="11"/>
      <c r="P48" s="12"/>
      <c r="Q48" s="11"/>
      <c r="R48" s="12"/>
    </row>
    <row r="49" spans="1:18" s="76" customFormat="1" ht="12.75" x14ac:dyDescent="0.2">
      <c r="A49" s="16" t="str">
        <f>VLOOKUP("&lt;Legende_2&gt;",Uebersetzungen!$B$3:$E$63,Uebersetzungen!$B$2+1,FALSE)</f>
        <v>Nicht befragt wurden Diplomaten, internationale Funktionäre und deren Familienangehörige. Diese Daten sind mit jenen der frühreren Jahre nicht direkt vergleichbar.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s="76" customFormat="1" ht="12.75" x14ac:dyDescent="0.2">
      <c r="A50" s="16" t="str">
        <f>VLOOKUP("&lt;Legende_3&gt;",Uebersetzungen!$B$3:$E$63,Uebersetzungen!$B$2+1,FALSE)</f>
        <v>Das Vertrauensintervall zeigt die Genauigkeit der Resultate einer Stichprobenerhebung.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1:18" s="76" customFormat="1" ht="12.75" x14ac:dyDescent="0.2">
      <c r="A51" s="16" t="str">
        <f>VLOOKUP("&lt;Legende_4&gt;",Uebersetzungen!$B$3:$E$63,Uebersetzungen!$B$2+1,FALSE)</f>
        <v>(): Extrapolation aufgrund von 49 oder weniger Beobachtungen. Die Resultate sind mit grosser Vorsicht zu interpretieren.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s="76" customFormat="1" ht="12.75" x14ac:dyDescent="0.2">
      <c r="A52" s="13" t="str">
        <f>VLOOKUP("&lt;Legende_5&gt;",Uebersetzungen!$B$3:$E$63,Uebersetzungen!$B$2+1,FALSE)</f>
        <v>X: Extrapolation aufgrund von 4 oder weniger Beobachtungen. Die Resultate werden aus Gründen des Datenschutzes nicht publiziert.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s="76" customFormat="1" ht="12.75" x14ac:dyDescent="0.2">
      <c r="A53" s="13" t="str">
        <f>VLOOKUP("&lt;Legende_6&gt;",Uebersetzungen!$B$3:$E$63,Uebersetzungen!$B$2+1,FALSE)</f>
        <v>* inkl. andere aus dem Islam hervorgegangene Gemeinschaften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 s="76" customFormat="1" ht="12.75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18" s="76" customFormat="1" ht="12.75" x14ac:dyDescent="0.2">
      <c r="A55" s="16" t="str">
        <f>VLOOKUP("&lt;quelle_1&gt;",Uebersetzungen!$B$3:$E$63,Uebersetzungen!$B$2+1,FALSE)</f>
        <v>Quelle: BFS (Strukturerhebung)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8" s="76" customFormat="1" ht="12.75" x14ac:dyDescent="0.2">
      <c r="A56" s="13" t="str">
        <f>VLOOKUP("&lt;aktualisierung&gt;",Uebersetzungen!$B$3:$E$213,Uebersetzungen!$B$2+1,FALSE)</f>
        <v>Letztmals aktualisiert am: 29.01.2026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</sheetData>
  <sheetProtection sheet="1" objects="1" scenarios="1"/>
  <mergeCells count="11">
    <mergeCell ref="Q13:R13"/>
    <mergeCell ref="A7:D7"/>
    <mergeCell ref="B12:R12"/>
    <mergeCell ref="B13:B14"/>
    <mergeCell ref="C13:D13"/>
    <mergeCell ref="E13:F13"/>
    <mergeCell ref="G13:H13"/>
    <mergeCell ref="I13:J13"/>
    <mergeCell ref="K13:L13"/>
    <mergeCell ref="M13:N13"/>
    <mergeCell ref="O13:P13"/>
  </mergeCells>
  <pageMargins left="0.7" right="0.7" top="0.75" bottom="0.75" header="0.3" footer="0.3"/>
  <pageSetup paperSize="9" orientation="portrait" r:id="rId1"/>
  <ignoredErrors>
    <ignoredError sqref="D14 F14 H14 J14 L14 N14 P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Option Button 1">
              <controlPr defaultSize="0" autoFill="0" autoLine="0" autoPict="0">
                <anchor moveWithCells="1">
                  <from>
                    <xdr:col>6</xdr:col>
                    <xdr:colOff>295275</xdr:colOff>
                    <xdr:row>1</xdr:row>
                    <xdr:rowOff>114300</xdr:rowOff>
                  </from>
                  <to>
                    <xdr:col>7</xdr:col>
                    <xdr:colOff>695325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Option Button 2">
              <controlPr defaultSize="0" autoFill="0" autoLine="0" autoPict="0">
                <anchor moveWithCells="1">
                  <from>
                    <xdr:col>6</xdr:col>
                    <xdr:colOff>295275</xdr:colOff>
                    <xdr:row>2</xdr:row>
                    <xdr:rowOff>104775</xdr:rowOff>
                  </from>
                  <to>
                    <xdr:col>8</xdr:col>
                    <xdr:colOff>276225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Option Button 3">
              <controlPr defaultSize="0" autoFill="0" autoLine="0" autoPict="0">
                <anchor moveWithCells="1">
                  <from>
                    <xdr:col>6</xdr:col>
                    <xdr:colOff>295275</xdr:colOff>
                    <xdr:row>3</xdr:row>
                    <xdr:rowOff>66675</xdr:rowOff>
                  </from>
                  <to>
                    <xdr:col>7</xdr:col>
                    <xdr:colOff>695325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56"/>
  <sheetViews>
    <sheetView showGridLines="0" workbookViewId="0"/>
  </sheetViews>
  <sheetFormatPr baseColWidth="10" defaultColWidth="9.140625" defaultRowHeight="14.25" x14ac:dyDescent="0.2"/>
  <cols>
    <col min="1" max="1" width="22.7109375" style="53" customWidth="1"/>
    <col min="2" max="2" width="9.140625" style="53" customWidth="1"/>
    <col min="3" max="18" width="12.42578125" style="53" customWidth="1"/>
    <col min="19" max="16384" width="9.140625" style="77"/>
  </cols>
  <sheetData>
    <row r="1" spans="1:18" s="75" customFormat="1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75" customFormat="1" ht="15.75" x14ac:dyDescent="0.25">
      <c r="A2" s="1"/>
      <c r="B2" s="15"/>
      <c r="C2" s="53"/>
      <c r="D2" s="5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75" customFormat="1" ht="15.75" x14ac:dyDescent="0.25">
      <c r="A3" s="1"/>
      <c r="B3" s="15"/>
      <c r="C3" s="53"/>
      <c r="D3" s="5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s="75" customFormat="1" ht="15.75" x14ac:dyDescent="0.25">
      <c r="A4" s="1"/>
      <c r="B4" s="15"/>
      <c r="C4" s="53"/>
      <c r="D4" s="5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75" customFormat="1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s="75" customFormat="1" ht="12.7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s="75" customFormat="1" ht="15.75" customHeight="1" x14ac:dyDescent="0.2">
      <c r="A7" s="146" t="str">
        <f>VLOOKUP("&lt;Fachbereich&gt;",Uebersetzungen!$B$3:$E$63,Uebersetzungen!$B$2+1,FALSE)</f>
        <v>Daten &amp; Statistik</v>
      </c>
      <c r="B7" s="146"/>
      <c r="C7" s="146"/>
      <c r="D7" s="146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</row>
    <row r="8" spans="1:18" s="75" customFormat="1" ht="12.7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s="76" customFormat="1" ht="18" x14ac:dyDescent="0.2">
      <c r="A9" s="19" t="str">
        <f>VLOOKUP("&lt;Titel&gt;",Uebersetzungen!$B$3:$E$63,Uebersetzungen!$B$2+1,FALSE)</f>
        <v>Religionszugehörigkeit nach Kanton</v>
      </c>
      <c r="B9" s="54"/>
      <c r="C9" s="55"/>
      <c r="D9" s="55"/>
      <c r="E9" s="55"/>
      <c r="F9" s="55"/>
      <c r="G9" s="55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s="76" customFormat="1" ht="12.75" x14ac:dyDescent="0.2">
      <c r="A10" s="20" t="str">
        <f>VLOOKUP("&lt;UTitel&gt;",Uebersetzungen!$B$3:$E$63,Uebersetzungen!$B$2+1,FALSE)</f>
        <v>Ständige Wohnbevölkerung ab 15 Jahren</v>
      </c>
      <c r="B10" s="54"/>
      <c r="C10" s="55"/>
      <c r="D10" s="55"/>
      <c r="E10" s="55"/>
      <c r="F10" s="55"/>
      <c r="G10" s="5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8.75" thickBot="1" x14ac:dyDescent="0.3">
      <c r="B11" s="17"/>
      <c r="C11" s="18"/>
      <c r="D11" s="4"/>
      <c r="E11" s="4"/>
      <c r="F11" s="4"/>
      <c r="G11" s="4"/>
      <c r="H11" s="4"/>
      <c r="I11" s="4"/>
      <c r="J11" s="4"/>
    </row>
    <row r="12" spans="1:18" s="78" customFormat="1" ht="18" x14ac:dyDescent="0.25">
      <c r="A12" s="3"/>
      <c r="B12" s="158">
        <v>2014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60"/>
    </row>
    <row r="13" spans="1:18" s="78" customFormat="1" ht="37.5" customHeight="1" x14ac:dyDescent="0.25">
      <c r="A13" s="3"/>
      <c r="B13" s="157" t="str">
        <f>VLOOKUP("&lt;SpaltenTitel_1&gt;",Uebersetzungen!$B$3:$E$63,Uebersetzungen!$B$2+1,FALSE)</f>
        <v>Total</v>
      </c>
      <c r="C13" s="152" t="str">
        <f>VLOOKUP("&lt;SpaltenTitel_2&gt;",Uebersetzungen!$B$3:$E$63,Uebersetzungen!$B$2+1,FALSE)</f>
        <v>Evangelisch-reformiert</v>
      </c>
      <c r="D13" s="152"/>
      <c r="E13" s="152" t="str">
        <f>VLOOKUP("&lt;SpaltenTitel_3&gt;",Uebersetzungen!$B$3:$E$63,Uebersetzungen!$B$2+1,FALSE)</f>
        <v>Römisch-katholisch</v>
      </c>
      <c r="F13" s="152"/>
      <c r="G13" s="152" t="str">
        <f>VLOOKUP("&lt;SpaltenTitel_4&gt;",Uebersetzungen!$B$3:$E$63,Uebersetzungen!$B$2+1,FALSE)</f>
        <v>Andere christliche Glaubensgemeinschaften</v>
      </c>
      <c r="H13" s="152"/>
      <c r="I13" s="152" t="str">
        <f>VLOOKUP("&lt;SpaltenTitel_5&gt;",Uebersetzungen!$B$3:$E$63,Uebersetzungen!$B$2+1,FALSE)</f>
        <v>Jüdische Glaubensgemeinschaften</v>
      </c>
      <c r="J13" s="152"/>
      <c r="K13" s="152" t="str">
        <f>VLOOKUP("&lt;SpaltenTitel_6&gt;",Uebersetzungen!$B$3:$E$63,Uebersetzungen!$B$2+1,FALSE)</f>
        <v>Islamische Glaubensgem.*</v>
      </c>
      <c r="L13" s="152"/>
      <c r="M13" s="152" t="str">
        <f>VLOOKUP("&lt;SpaltenTitel_7&gt;",Uebersetzungen!$B$3:$E$63,Uebersetzungen!$B$2+1,FALSE)</f>
        <v>Andere Religionsgemeinschaften</v>
      </c>
      <c r="N13" s="152"/>
      <c r="O13" s="152" t="str">
        <f>VLOOKUP("&lt;SpaltenTitel_8&gt;",Uebersetzungen!$B$3:$E$63,Uebersetzungen!$B$2+1,FALSE)</f>
        <v>Ohne Religionszugehörigkeit</v>
      </c>
      <c r="P13" s="152"/>
      <c r="Q13" s="152" t="str">
        <f>VLOOKUP("&lt;SpaltenTitel_9&gt;",Uebersetzungen!$B$3:$E$63,Uebersetzungen!$B$2+1,FALSE)</f>
        <v>Religionszugehörigkeit unbekannt</v>
      </c>
      <c r="R13" s="153"/>
    </row>
    <row r="14" spans="1:18" s="78" customFormat="1" ht="39" thickBot="1" x14ac:dyDescent="0.3">
      <c r="A14" s="6"/>
      <c r="B14" s="151"/>
      <c r="C14" s="112" t="str">
        <f>VLOOKUP("&lt;SpaltenTitel_2.1&gt;",Uebersetzungen!$B$3:$E$63,Uebersetzungen!$B$2+1,FALSE)</f>
        <v>Anzahl Personen</v>
      </c>
      <c r="D14" s="112" t="str">
        <f>VLOOKUP("&lt;SpaltenTitel_2.2&gt;",Uebersetzungen!$B$3:$E$63,Uebersetzungen!$B$2+1,FALSE)</f>
        <v>Vertrauens- intervall:          ± (in %)</v>
      </c>
      <c r="E14" s="112" t="str">
        <f>VLOOKUP("&lt;SpaltenTitel_2.1&gt;",Uebersetzungen!$B$3:$E$63,Uebersetzungen!$B$2+1,FALSE)</f>
        <v>Anzahl Personen</v>
      </c>
      <c r="F14" s="112" t="str">
        <f>VLOOKUP("&lt;SpaltenTitel_2.2&gt;",Uebersetzungen!$B$3:$E$63,Uebersetzungen!$B$2+1,FALSE)</f>
        <v>Vertrauens- intervall:          ± (in %)</v>
      </c>
      <c r="G14" s="112" t="str">
        <f>VLOOKUP("&lt;SpaltenTitel_2.1&gt;",Uebersetzungen!$B$3:$E$63,Uebersetzungen!$B$2+1,FALSE)</f>
        <v>Anzahl Personen</v>
      </c>
      <c r="H14" s="112" t="str">
        <f>VLOOKUP("&lt;SpaltenTitel_2.2&gt;",Uebersetzungen!$B$3:$E$63,Uebersetzungen!$B$2+1,FALSE)</f>
        <v>Vertrauens- intervall:          ± (in %)</v>
      </c>
      <c r="I14" s="112" t="str">
        <f>VLOOKUP("&lt;SpaltenTitel_2.1&gt;",Uebersetzungen!$B$3:$E$63,Uebersetzungen!$B$2+1,FALSE)</f>
        <v>Anzahl Personen</v>
      </c>
      <c r="J14" s="112" t="str">
        <f>VLOOKUP("&lt;SpaltenTitel_2.2&gt;",Uebersetzungen!$B$3:$E$63,Uebersetzungen!$B$2+1,FALSE)</f>
        <v>Vertrauens- intervall:          ± (in %)</v>
      </c>
      <c r="K14" s="112" t="str">
        <f>VLOOKUP("&lt;SpaltenTitel_2.1&gt;",Uebersetzungen!$B$3:$E$63,Uebersetzungen!$B$2+1,FALSE)</f>
        <v>Anzahl Personen</v>
      </c>
      <c r="L14" s="112" t="str">
        <f>VLOOKUP("&lt;SpaltenTitel_2.2&gt;",Uebersetzungen!$B$3:$E$63,Uebersetzungen!$B$2+1,FALSE)</f>
        <v>Vertrauens- intervall:          ± (in %)</v>
      </c>
      <c r="M14" s="112" t="str">
        <f>VLOOKUP("&lt;SpaltenTitel_2.1&gt;",Uebersetzungen!$B$3:$E$63,Uebersetzungen!$B$2+1,FALSE)</f>
        <v>Anzahl Personen</v>
      </c>
      <c r="N14" s="112" t="str">
        <f>VLOOKUP("&lt;SpaltenTitel_2.2&gt;",Uebersetzungen!$B$3:$E$63,Uebersetzungen!$B$2+1,FALSE)</f>
        <v>Vertrauens- intervall:          ± (in %)</v>
      </c>
      <c r="O14" s="112" t="str">
        <f>VLOOKUP("&lt;SpaltenTitel_2.1&gt;",Uebersetzungen!$B$3:$E$63,Uebersetzungen!$B$2+1,FALSE)</f>
        <v>Anzahl Personen</v>
      </c>
      <c r="P14" s="112" t="str">
        <f>VLOOKUP("&lt;SpaltenTitel_2.2&gt;",Uebersetzungen!$B$3:$E$63,Uebersetzungen!$B$2+1,FALSE)</f>
        <v>Vertrauens- intervall:          ± (in %)</v>
      </c>
      <c r="Q14" s="112" t="str">
        <f>VLOOKUP("&lt;SpaltenTitel_2.1&gt;",Uebersetzungen!$B$3:$E$63,Uebersetzungen!$B$2+1,FALSE)</f>
        <v>Anzahl Personen</v>
      </c>
      <c r="R14" s="113" t="str">
        <f>VLOOKUP("&lt;SpaltenTitel_2.2&gt;",Uebersetzungen!$B$3:$E$63,Uebersetzungen!$B$2+1,FALSE)</f>
        <v>Vertrauens- intervall:          ± (in %)</v>
      </c>
    </row>
    <row r="15" spans="1:18" s="76" customFormat="1" ht="12.75" x14ac:dyDescent="0.2">
      <c r="A15" s="14" t="str">
        <f>VLOOKUP("&lt;Zeilentitel_1&gt;",Uebersetzungen!$B$3:$E$63,Uebersetzungen!$B$2+1,FALSE)</f>
        <v>Total</v>
      </c>
      <c r="B15" s="28">
        <v>6829610</v>
      </c>
      <c r="C15" s="108">
        <v>1742823</v>
      </c>
      <c r="D15" s="119">
        <v>0.6143481007537771</v>
      </c>
      <c r="E15" s="120">
        <v>2585788</v>
      </c>
      <c r="F15" s="119">
        <v>0.45270532619070086</v>
      </c>
      <c r="G15" s="109">
        <v>392070</v>
      </c>
      <c r="H15" s="121">
        <v>1.5680873313438926</v>
      </c>
      <c r="I15" s="109">
        <v>15893</v>
      </c>
      <c r="J15" s="119">
        <v>7.7707166677153463</v>
      </c>
      <c r="K15" s="110">
        <v>346208</v>
      </c>
      <c r="L15" s="119">
        <v>1.7691676679914965</v>
      </c>
      <c r="M15" s="109">
        <v>90469</v>
      </c>
      <c r="N15" s="121">
        <v>3.4077971459837069</v>
      </c>
      <c r="O15" s="108">
        <v>1572027</v>
      </c>
      <c r="P15" s="119">
        <v>0.68535718534096424</v>
      </c>
      <c r="Q15" s="109">
        <v>84331.520699436573</v>
      </c>
      <c r="R15" s="122">
        <v>3.2608956051986273</v>
      </c>
    </row>
    <row r="16" spans="1:18" s="76" customFormat="1" ht="12.75" x14ac:dyDescent="0.2">
      <c r="A16" s="56" t="str">
        <f>VLOOKUP("&lt;Zeilentitel_2&gt;",Uebersetzungen!$B$3:$E$63,Uebersetzungen!$B$2+1,FALSE)</f>
        <v>Genferseeregion</v>
      </c>
      <c r="B16" s="114">
        <v>1256811</v>
      </c>
      <c r="C16" s="57">
        <v>211585</v>
      </c>
      <c r="D16" s="58">
        <v>1.5180660254743956</v>
      </c>
      <c r="E16" s="59">
        <v>525386</v>
      </c>
      <c r="F16" s="58">
        <v>0.85194504611847288</v>
      </c>
      <c r="G16" s="57">
        <v>64859</v>
      </c>
      <c r="H16" s="60">
        <v>3.1884549561356175</v>
      </c>
      <c r="I16" s="57">
        <v>5950</v>
      </c>
      <c r="J16" s="58">
        <v>10.420168067226891</v>
      </c>
      <c r="K16" s="59">
        <v>59938</v>
      </c>
      <c r="L16" s="58">
        <v>3.4635790316660553</v>
      </c>
      <c r="M16" s="57">
        <v>15494</v>
      </c>
      <c r="N16" s="60">
        <v>6.6735510520201364</v>
      </c>
      <c r="O16" s="57">
        <v>344189</v>
      </c>
      <c r="P16" s="58">
        <v>1.200503211898114</v>
      </c>
      <c r="Q16" s="57">
        <v>29409.933990266079</v>
      </c>
      <c r="R16" s="61">
        <v>4.8516969094344091</v>
      </c>
    </row>
    <row r="17" spans="1:18" s="76" customFormat="1" ht="12.75" x14ac:dyDescent="0.2">
      <c r="A17" s="7" t="str">
        <f>VLOOKUP("&lt;Zeilentitel_3&gt;",Uebersetzungen!$B$3:$E$63,Uebersetzungen!$B$2+1,FALSE)</f>
        <v>Waadt</v>
      </c>
      <c r="B17" s="115">
        <v>619668</v>
      </c>
      <c r="C17" s="29">
        <v>159837</v>
      </c>
      <c r="D17" s="30">
        <v>1.6141444096172977</v>
      </c>
      <c r="E17" s="31">
        <v>191977</v>
      </c>
      <c r="F17" s="30">
        <v>1.4793438797355933</v>
      </c>
      <c r="G17" s="29">
        <v>37624</v>
      </c>
      <c r="H17" s="32">
        <v>3.8991069530087179</v>
      </c>
      <c r="I17" s="29">
        <v>2033</v>
      </c>
      <c r="J17" s="30">
        <v>17.068371864240039</v>
      </c>
      <c r="K17" s="31">
        <v>30458</v>
      </c>
      <c r="L17" s="30">
        <v>4.5505285967561893</v>
      </c>
      <c r="M17" s="29">
        <v>8217</v>
      </c>
      <c r="N17" s="32">
        <v>8.6162833150784959</v>
      </c>
      <c r="O17" s="29">
        <v>175774</v>
      </c>
      <c r="P17" s="30">
        <v>1.5884032905890517</v>
      </c>
      <c r="Q17" s="29">
        <v>13748.376968504963</v>
      </c>
      <c r="R17" s="33">
        <v>6.5332062054401572</v>
      </c>
    </row>
    <row r="18" spans="1:18" s="76" customFormat="1" ht="12.75" x14ac:dyDescent="0.2">
      <c r="A18" s="7" t="str">
        <f>VLOOKUP("&lt;Zeilentitel_4&gt;",Uebersetzungen!$B$3:$E$63,Uebersetzungen!$B$2+1,FALSE)</f>
        <v>Wallis</v>
      </c>
      <c r="B18" s="115">
        <v>276351</v>
      </c>
      <c r="C18" s="29">
        <v>15939</v>
      </c>
      <c r="D18" s="30">
        <v>8.3945040466779606</v>
      </c>
      <c r="E18" s="31">
        <v>203587</v>
      </c>
      <c r="F18" s="30">
        <v>1.2751305338749528</v>
      </c>
      <c r="G18" s="29">
        <v>7453</v>
      </c>
      <c r="H18" s="32">
        <v>12.786797262847175</v>
      </c>
      <c r="I18" s="34">
        <v>249.0258</v>
      </c>
      <c r="J18" s="35">
        <v>73.253180995704042</v>
      </c>
      <c r="K18" s="31">
        <v>8198</v>
      </c>
      <c r="L18" s="30">
        <v>12.344474262015126</v>
      </c>
      <c r="M18" s="36">
        <v>1619</v>
      </c>
      <c r="N18" s="37">
        <v>27.424336009882644</v>
      </c>
      <c r="O18" s="29">
        <v>34352</v>
      </c>
      <c r="P18" s="30">
        <v>5.6998136935258499</v>
      </c>
      <c r="Q18" s="29">
        <v>4954.390235340692</v>
      </c>
      <c r="R18" s="33">
        <v>15.608253884186391</v>
      </c>
    </row>
    <row r="19" spans="1:18" s="76" customFormat="1" ht="12.75" x14ac:dyDescent="0.2">
      <c r="A19" s="7" t="str">
        <f>VLOOKUP("&lt;Zeilentitel_5&gt;",Uebersetzungen!$B$3:$E$63,Uebersetzungen!$B$2+1,FALSE)</f>
        <v>Genf</v>
      </c>
      <c r="B19" s="115">
        <v>360792</v>
      </c>
      <c r="C19" s="29">
        <v>35810</v>
      </c>
      <c r="D19" s="30">
        <v>3.8117844177604021</v>
      </c>
      <c r="E19" s="31">
        <v>129821</v>
      </c>
      <c r="F19" s="30">
        <v>1.7616564346292201</v>
      </c>
      <c r="G19" s="29">
        <v>19782</v>
      </c>
      <c r="H19" s="32">
        <v>5.5757759579415627</v>
      </c>
      <c r="I19" s="29">
        <v>3668</v>
      </c>
      <c r="J19" s="30">
        <v>13.086150490730644</v>
      </c>
      <c r="K19" s="31">
        <v>21283</v>
      </c>
      <c r="L19" s="30">
        <v>5.4879481276135884</v>
      </c>
      <c r="M19" s="29">
        <v>5659</v>
      </c>
      <c r="N19" s="32">
        <v>10.743947693938859</v>
      </c>
      <c r="O19" s="29">
        <v>134063</v>
      </c>
      <c r="P19" s="30">
        <v>1.7402266098774457</v>
      </c>
      <c r="Q19" s="29">
        <v>10707.166786420425</v>
      </c>
      <c r="R19" s="33">
        <v>7.4202315557188694</v>
      </c>
    </row>
    <row r="20" spans="1:18" s="76" customFormat="1" ht="12.75" x14ac:dyDescent="0.2">
      <c r="A20" s="56" t="str">
        <f>VLOOKUP("&lt;Zeilentitel_6&gt;",Uebersetzungen!$B$3:$E$63,Uebersetzungen!$B$2+1,FALSE)</f>
        <v>Espace Mittelland</v>
      </c>
      <c r="B20" s="114">
        <v>1523124</v>
      </c>
      <c r="C20" s="57">
        <v>569348</v>
      </c>
      <c r="D20" s="58">
        <v>0.98147354517799312</v>
      </c>
      <c r="E20" s="59">
        <v>443750</v>
      </c>
      <c r="F20" s="58">
        <v>1.1855774647887323</v>
      </c>
      <c r="G20" s="57">
        <v>84349</v>
      </c>
      <c r="H20" s="60">
        <v>3.5175283642959609</v>
      </c>
      <c r="I20" s="62">
        <v>841.16778999999997</v>
      </c>
      <c r="J20" s="63">
        <v>32.672697797903083</v>
      </c>
      <c r="K20" s="59">
        <v>64313</v>
      </c>
      <c r="L20" s="58">
        <v>4.3101705720460872</v>
      </c>
      <c r="M20" s="57">
        <v>19864</v>
      </c>
      <c r="N20" s="60">
        <v>7.5261780104712042</v>
      </c>
      <c r="O20" s="57">
        <v>321218</v>
      </c>
      <c r="P20" s="58">
        <v>1.576188133915285</v>
      </c>
      <c r="Q20" s="57">
        <v>19440.108951013204</v>
      </c>
      <c r="R20" s="61">
        <v>7.1361564490725122</v>
      </c>
    </row>
    <row r="21" spans="1:18" s="76" customFormat="1" ht="12.75" x14ac:dyDescent="0.2">
      <c r="A21" s="7" t="str">
        <f>VLOOKUP("&lt;Zeilentitel_7&gt;",Uebersetzungen!$B$3:$E$63,Uebersetzungen!$B$2+1,FALSE)</f>
        <v>Bern</v>
      </c>
      <c r="B21" s="115">
        <v>847849</v>
      </c>
      <c r="C21" s="29">
        <v>450313</v>
      </c>
      <c r="D21" s="30">
        <v>1.0403874638307133</v>
      </c>
      <c r="E21" s="31">
        <v>137354</v>
      </c>
      <c r="F21" s="30">
        <v>2.564177235464566</v>
      </c>
      <c r="G21" s="29">
        <v>55830</v>
      </c>
      <c r="H21" s="32">
        <v>4.3435428980834674</v>
      </c>
      <c r="I21" s="34">
        <v>550.85040000000004</v>
      </c>
      <c r="J21" s="35">
        <v>41.404784311675172</v>
      </c>
      <c r="K21" s="31">
        <v>30879</v>
      </c>
      <c r="L21" s="30">
        <v>6.2890637650182972</v>
      </c>
      <c r="M21" s="29">
        <v>12321</v>
      </c>
      <c r="N21" s="32">
        <v>9.7151205259313365</v>
      </c>
      <c r="O21" s="29">
        <v>151665</v>
      </c>
      <c r="P21" s="30">
        <v>2.4369498565918306</v>
      </c>
      <c r="Q21" s="29">
        <v>8935.6673436931233</v>
      </c>
      <c r="R21" s="33">
        <v>11.045550998184625</v>
      </c>
    </row>
    <row r="22" spans="1:18" s="76" customFormat="1" ht="12.75" x14ac:dyDescent="0.2">
      <c r="A22" s="7" t="str">
        <f>VLOOKUP("&lt;Zeilentitel_8&gt;",Uebersetzungen!$B$3:$E$63,Uebersetzungen!$B$2+1,FALSE)</f>
        <v>Freiburg</v>
      </c>
      <c r="B22" s="115">
        <v>246170</v>
      </c>
      <c r="C22" s="29">
        <v>31222</v>
      </c>
      <c r="D22" s="30">
        <v>5.6914995836269302</v>
      </c>
      <c r="E22" s="31">
        <v>152193</v>
      </c>
      <c r="F22" s="30">
        <v>1.7326683881650273</v>
      </c>
      <c r="G22" s="29">
        <v>8831</v>
      </c>
      <c r="H22" s="32">
        <v>11.844638206318651</v>
      </c>
      <c r="I22" s="34" t="s">
        <v>1</v>
      </c>
      <c r="J22" s="35" t="s">
        <v>1</v>
      </c>
      <c r="K22" s="31">
        <v>9802</v>
      </c>
      <c r="L22" s="30">
        <v>11.487451540501938</v>
      </c>
      <c r="M22" s="29">
        <v>1870</v>
      </c>
      <c r="N22" s="32">
        <v>25.668449197860966</v>
      </c>
      <c r="O22" s="29">
        <v>38365</v>
      </c>
      <c r="P22" s="30">
        <v>5.2104783005343416</v>
      </c>
      <c r="Q22" s="29">
        <v>3854.6321494578074</v>
      </c>
      <c r="R22" s="33">
        <v>17.408920927165315</v>
      </c>
    </row>
    <row r="23" spans="1:18" s="76" customFormat="1" ht="12.75" x14ac:dyDescent="0.2">
      <c r="A23" s="7" t="str">
        <f>VLOOKUP("&lt;Zeilentitel_9&gt;",Uebersetzungen!$B$3:$E$63,Uebersetzungen!$B$2+1,FALSE)</f>
        <v>Solothurn</v>
      </c>
      <c r="B23" s="115">
        <v>222919</v>
      </c>
      <c r="C23" s="29">
        <v>48719</v>
      </c>
      <c r="D23" s="30">
        <v>4.3022229520310349</v>
      </c>
      <c r="E23" s="31">
        <v>79071</v>
      </c>
      <c r="F23" s="30">
        <v>3.1136573459296075</v>
      </c>
      <c r="G23" s="29">
        <v>11192</v>
      </c>
      <c r="H23" s="32">
        <v>10.391350964974983</v>
      </c>
      <c r="I23" s="38" t="s">
        <v>1</v>
      </c>
      <c r="J23" s="30" t="s">
        <v>1</v>
      </c>
      <c r="K23" s="31">
        <v>15943</v>
      </c>
      <c r="L23" s="30">
        <v>9.2579815593050245</v>
      </c>
      <c r="M23" s="29">
        <v>3350</v>
      </c>
      <c r="N23" s="32">
        <v>19.582089552238806</v>
      </c>
      <c r="O23" s="29">
        <v>62660</v>
      </c>
      <c r="P23" s="30">
        <v>3.7264602617299714</v>
      </c>
      <c r="Q23" s="29">
        <v>1915.2594492780329</v>
      </c>
      <c r="R23" s="33">
        <v>25.031684207880833</v>
      </c>
    </row>
    <row r="24" spans="1:18" s="76" customFormat="1" ht="12.75" x14ac:dyDescent="0.2">
      <c r="A24" s="7" t="str">
        <f>VLOOKUP("&lt;Zeilentitel_10&gt;",Uebersetzungen!$B$3:$E$63,Uebersetzungen!$B$2+1,FALSE)</f>
        <v>Neuenburg</v>
      </c>
      <c r="B24" s="115">
        <v>146165</v>
      </c>
      <c r="C24" s="29">
        <v>33077</v>
      </c>
      <c r="D24" s="30">
        <v>3.594642803156272</v>
      </c>
      <c r="E24" s="31">
        <v>33486</v>
      </c>
      <c r="F24" s="30">
        <v>3.6731768500268771</v>
      </c>
      <c r="G24" s="29">
        <v>6766</v>
      </c>
      <c r="H24" s="32">
        <v>9.0600059119125032</v>
      </c>
      <c r="I24" s="34">
        <v>157.67339000000001</v>
      </c>
      <c r="J24" s="35">
        <v>60.326685434999519</v>
      </c>
      <c r="K24" s="31">
        <v>6307</v>
      </c>
      <c r="L24" s="30">
        <v>9.7352148406532422</v>
      </c>
      <c r="M24" s="29">
        <v>1888</v>
      </c>
      <c r="N24" s="32">
        <v>17.95550847457627</v>
      </c>
      <c r="O24" s="29">
        <v>61095</v>
      </c>
      <c r="P24" s="30">
        <v>2.4011784925116619</v>
      </c>
      <c r="Q24" s="29">
        <v>3388.7937310045882</v>
      </c>
      <c r="R24" s="33">
        <v>12.939658356654938</v>
      </c>
    </row>
    <row r="25" spans="1:18" s="76" customFormat="1" ht="12.75" x14ac:dyDescent="0.2">
      <c r="A25" s="7" t="str">
        <f>VLOOKUP("&lt;Zeilentitel_11&gt;",Uebersetzungen!$B$3:$E$63,Uebersetzungen!$B$2+1,FALSE)</f>
        <v>Jura</v>
      </c>
      <c r="B25" s="115">
        <v>60021</v>
      </c>
      <c r="C25" s="29">
        <v>6017</v>
      </c>
      <c r="D25" s="30">
        <v>9.1740069802227033</v>
      </c>
      <c r="E25" s="31">
        <v>41646</v>
      </c>
      <c r="F25" s="30">
        <v>2.0626230610382752</v>
      </c>
      <c r="G25" s="29">
        <v>1730</v>
      </c>
      <c r="H25" s="32">
        <v>18.439306358381501</v>
      </c>
      <c r="I25" s="38" t="s">
        <v>1</v>
      </c>
      <c r="J25" s="30" t="s">
        <v>1</v>
      </c>
      <c r="K25" s="39">
        <v>1382</v>
      </c>
      <c r="L25" s="35">
        <v>21.562952243125906</v>
      </c>
      <c r="M25" s="34">
        <v>435.25241999999997</v>
      </c>
      <c r="N25" s="37">
        <v>37.517629425242497</v>
      </c>
      <c r="O25" s="29">
        <v>7432</v>
      </c>
      <c r="P25" s="30">
        <v>8.3557588805166851</v>
      </c>
      <c r="Q25" s="34">
        <v>1345.7562775796498</v>
      </c>
      <c r="R25" s="40">
        <v>20.745803583543168</v>
      </c>
    </row>
    <row r="26" spans="1:18" s="76" customFormat="1" ht="12.75" x14ac:dyDescent="0.2">
      <c r="A26" s="56" t="str">
        <f>VLOOKUP("&lt;Zeilentitel_12&gt;",Uebersetzungen!$B$3:$E$63,Uebersetzungen!$B$2+1,FALSE)</f>
        <v>Nordwestschweiz</v>
      </c>
      <c r="B26" s="116">
        <v>938575</v>
      </c>
      <c r="C26" s="57">
        <v>240725</v>
      </c>
      <c r="D26" s="58">
        <v>1.6005815764876936</v>
      </c>
      <c r="E26" s="59">
        <v>282310</v>
      </c>
      <c r="F26" s="58">
        <v>1.4299883107222557</v>
      </c>
      <c r="G26" s="57">
        <v>58826</v>
      </c>
      <c r="H26" s="60">
        <v>3.7364430693910857</v>
      </c>
      <c r="I26" s="57">
        <v>1928</v>
      </c>
      <c r="J26" s="58">
        <v>23.858921161825727</v>
      </c>
      <c r="K26" s="59">
        <v>60065</v>
      </c>
      <c r="L26" s="58">
        <v>3.9257471073004244</v>
      </c>
      <c r="M26" s="57">
        <v>13976</v>
      </c>
      <c r="N26" s="60">
        <v>8.5074413279908416</v>
      </c>
      <c r="O26" s="57">
        <v>272979</v>
      </c>
      <c r="P26" s="58">
        <v>1.5246594060348964</v>
      </c>
      <c r="Q26" s="57">
        <v>7766.6444177265157</v>
      </c>
      <c r="R26" s="61">
        <v>11.019048635080598</v>
      </c>
    </row>
    <row r="27" spans="1:18" s="76" customFormat="1" ht="12.75" x14ac:dyDescent="0.2">
      <c r="A27" s="7" t="str">
        <f>VLOOKUP("&lt;Zeilentitel_13&gt;",Uebersetzungen!$B$3:$E$63,Uebersetzungen!$B$2+1,FALSE)</f>
        <v>Basel-Stadt</v>
      </c>
      <c r="B27" s="115">
        <v>161226</v>
      </c>
      <c r="C27" s="29">
        <v>26990</v>
      </c>
      <c r="D27" s="30">
        <v>6.2208225268618005</v>
      </c>
      <c r="E27" s="31">
        <v>31304</v>
      </c>
      <c r="F27" s="30">
        <v>5.7915921288014305</v>
      </c>
      <c r="G27" s="29">
        <v>9926</v>
      </c>
      <c r="H27" s="32">
        <v>11.192826919202096</v>
      </c>
      <c r="I27" s="34">
        <v>1066</v>
      </c>
      <c r="J27" s="35">
        <v>34.052532833020635</v>
      </c>
      <c r="K27" s="31">
        <v>13067</v>
      </c>
      <c r="L27" s="30">
        <v>9.8415856738348513</v>
      </c>
      <c r="M27" s="29">
        <v>3380</v>
      </c>
      <c r="N27" s="32">
        <v>20.118343195266274</v>
      </c>
      <c r="O27" s="29">
        <v>73591</v>
      </c>
      <c r="P27" s="30">
        <v>3.1403296598768873</v>
      </c>
      <c r="Q27" s="29">
        <v>1902.0742707927493</v>
      </c>
      <c r="R27" s="33">
        <v>26.223195250209173</v>
      </c>
    </row>
    <row r="28" spans="1:18" s="76" customFormat="1" ht="12.75" x14ac:dyDescent="0.2">
      <c r="A28" s="7" t="str">
        <f>VLOOKUP("&lt;Zeilentitel_14&gt;",Uebersetzungen!$B$3:$E$63,Uebersetzungen!$B$2+1,FALSE)</f>
        <v>Basel-Landschaft</v>
      </c>
      <c r="B28" s="115">
        <v>237626</v>
      </c>
      <c r="C28" s="29">
        <v>75152</v>
      </c>
      <c r="D28" s="30">
        <v>3.2826804343197784</v>
      </c>
      <c r="E28" s="31">
        <v>66089</v>
      </c>
      <c r="F28" s="30">
        <v>3.6254142141657462</v>
      </c>
      <c r="G28" s="29">
        <v>12827</v>
      </c>
      <c r="H28" s="32">
        <v>9.5657597255788573</v>
      </c>
      <c r="I28" s="34">
        <v>392.13650000000001</v>
      </c>
      <c r="J28" s="35">
        <v>57.187257498345588</v>
      </c>
      <c r="K28" s="31">
        <v>11686</v>
      </c>
      <c r="L28" s="30">
        <v>10.559644018483656</v>
      </c>
      <c r="M28" s="29">
        <v>3874</v>
      </c>
      <c r="N28" s="32">
        <v>18.662880743417656</v>
      </c>
      <c r="O28" s="29">
        <v>65610</v>
      </c>
      <c r="P28" s="30">
        <v>3.6838896509678398</v>
      </c>
      <c r="Q28" s="29">
        <v>1997.4200341019703</v>
      </c>
      <c r="R28" s="33">
        <v>24.992643961828779</v>
      </c>
    </row>
    <row r="29" spans="1:18" s="76" customFormat="1" ht="12.75" x14ac:dyDescent="0.2">
      <c r="A29" s="7" t="str">
        <f>VLOOKUP("&lt;Zeilentitel_15&gt;",Uebersetzungen!$B$3:$E$63,Uebersetzungen!$B$2+1,FALSE)</f>
        <v>Aargau</v>
      </c>
      <c r="B29" s="115">
        <v>539723</v>
      </c>
      <c r="C29" s="29">
        <v>138584</v>
      </c>
      <c r="D29" s="30">
        <v>1.7577786757490041</v>
      </c>
      <c r="E29" s="31">
        <v>184917</v>
      </c>
      <c r="F29" s="30">
        <v>1.4579514052250468</v>
      </c>
      <c r="G29" s="29">
        <v>36073</v>
      </c>
      <c r="H29" s="32">
        <v>4.0085382418983722</v>
      </c>
      <c r="I29" s="34">
        <v>469.52602000000002</v>
      </c>
      <c r="J29" s="35">
        <v>36.936125499498402</v>
      </c>
      <c r="K29" s="31">
        <v>35312</v>
      </c>
      <c r="L29" s="30">
        <v>4.3752831898504754</v>
      </c>
      <c r="M29" s="29">
        <v>6722</v>
      </c>
      <c r="N29" s="32">
        <v>9.7441237726867005</v>
      </c>
      <c r="O29" s="29">
        <v>133778</v>
      </c>
      <c r="P29" s="30">
        <v>1.852322504447667</v>
      </c>
      <c r="Q29" s="29">
        <v>3867.1501128317959</v>
      </c>
      <c r="R29" s="33">
        <v>12.519962883834806</v>
      </c>
    </row>
    <row r="30" spans="1:18" s="76" customFormat="1" ht="12.75" x14ac:dyDescent="0.2">
      <c r="A30" s="7" t="str">
        <f>VLOOKUP("&lt;Zeilentitel_16&gt;",Uebersetzungen!$B$3:$E$63,Uebersetzungen!$B$2+1,FALSE)</f>
        <v>Zürich</v>
      </c>
      <c r="B30" s="117">
        <v>1203038</v>
      </c>
      <c r="C30" s="29">
        <v>364549</v>
      </c>
      <c r="D30" s="30">
        <v>1.5037758984388929</v>
      </c>
      <c r="E30" s="31">
        <v>333663</v>
      </c>
      <c r="F30" s="30">
        <v>1.6504676874571049</v>
      </c>
      <c r="G30" s="29">
        <v>82589</v>
      </c>
      <c r="H30" s="32">
        <v>3.8055915436680432</v>
      </c>
      <c r="I30" s="29">
        <v>5053</v>
      </c>
      <c r="J30" s="30">
        <v>15.871759350880666</v>
      </c>
      <c r="K30" s="31">
        <v>76029</v>
      </c>
      <c r="L30" s="30">
        <v>4.1957674045430036</v>
      </c>
      <c r="M30" s="29">
        <v>20580</v>
      </c>
      <c r="N30" s="32">
        <v>7.891156462585033</v>
      </c>
      <c r="O30" s="29">
        <v>310429</v>
      </c>
      <c r="P30" s="30">
        <v>1.741783145260269</v>
      </c>
      <c r="Q30" s="29">
        <v>10144.875603187476</v>
      </c>
      <c r="R30" s="33">
        <v>11.136028712261989</v>
      </c>
    </row>
    <row r="31" spans="1:18" s="76" customFormat="1" ht="12.75" x14ac:dyDescent="0.2">
      <c r="A31" s="56" t="str">
        <f>VLOOKUP("&lt;Zeilentitel_17&gt;",Uebersetzungen!$B$3:$E$63,Uebersetzungen!$B$2+1,FALSE)</f>
        <v>Ostschweiz</v>
      </c>
      <c r="B31" s="114">
        <v>959439</v>
      </c>
      <c r="C31" s="57">
        <v>275873</v>
      </c>
      <c r="D31" s="58">
        <v>1.7344937706843366</v>
      </c>
      <c r="E31" s="59">
        <v>386313</v>
      </c>
      <c r="F31" s="58">
        <v>1.3577073512928635</v>
      </c>
      <c r="G31" s="57">
        <v>58571</v>
      </c>
      <c r="H31" s="60">
        <v>4.5141793720441861</v>
      </c>
      <c r="I31" s="64">
        <v>975.09965</v>
      </c>
      <c r="J31" s="63">
        <v>36.293762386234064</v>
      </c>
      <c r="K31" s="59">
        <v>53415</v>
      </c>
      <c r="L31" s="58">
        <v>4.9948516334363005</v>
      </c>
      <c r="M31" s="57">
        <v>11214</v>
      </c>
      <c r="N31" s="60">
        <v>10.683074728018548</v>
      </c>
      <c r="O31" s="57">
        <v>165754</v>
      </c>
      <c r="P31" s="58">
        <v>2.4976772807896039</v>
      </c>
      <c r="Q31" s="57">
        <v>7323.9402993286167</v>
      </c>
      <c r="R31" s="61">
        <v>12.992040977397853</v>
      </c>
    </row>
    <row r="32" spans="1:18" s="76" customFormat="1" ht="12.75" x14ac:dyDescent="0.2">
      <c r="A32" s="7" t="str">
        <f>VLOOKUP("&lt;Zeilentitel_18&gt;",Uebersetzungen!$B$3:$E$63,Uebersetzungen!$B$2+1,FALSE)</f>
        <v>Glarus</v>
      </c>
      <c r="B32" s="115">
        <v>33297</v>
      </c>
      <c r="C32" s="29">
        <v>10800</v>
      </c>
      <c r="D32" s="30">
        <v>8.2407407407407405</v>
      </c>
      <c r="E32" s="31">
        <v>11818</v>
      </c>
      <c r="F32" s="30">
        <v>8.1485869013369427</v>
      </c>
      <c r="G32" s="36">
        <v>1436</v>
      </c>
      <c r="H32" s="37">
        <v>28.899721448467968</v>
      </c>
      <c r="I32" s="38" t="s">
        <v>1</v>
      </c>
      <c r="J32" s="30" t="s">
        <v>1</v>
      </c>
      <c r="K32" s="31">
        <v>2067</v>
      </c>
      <c r="L32" s="30">
        <v>25.592646347363328</v>
      </c>
      <c r="M32" s="34">
        <v>551.23415</v>
      </c>
      <c r="N32" s="37">
        <v>49.514281725832838</v>
      </c>
      <c r="O32" s="29">
        <v>6306</v>
      </c>
      <c r="P32" s="30">
        <v>12.369172216936251</v>
      </c>
      <c r="Q32" s="38">
        <v>294.66367675927899</v>
      </c>
      <c r="R32" s="33">
        <v>61.445441787853795</v>
      </c>
    </row>
    <row r="33" spans="1:18" s="76" customFormat="1" ht="12.75" x14ac:dyDescent="0.2">
      <c r="A33" s="7" t="str">
        <f>VLOOKUP("&lt;Zeilentitel_19&gt;",Uebersetzungen!$B$3:$E$63,Uebersetzungen!$B$2+1,FALSE)</f>
        <v>Schaffhausen</v>
      </c>
      <c r="B33" s="115">
        <v>67103</v>
      </c>
      <c r="C33" s="29">
        <v>24207</v>
      </c>
      <c r="D33" s="30">
        <v>5.6182096087908455</v>
      </c>
      <c r="E33" s="31">
        <v>15947</v>
      </c>
      <c r="F33" s="30">
        <v>7.6440709851382707</v>
      </c>
      <c r="G33" s="29">
        <v>5367</v>
      </c>
      <c r="H33" s="32">
        <v>14.5705235699646</v>
      </c>
      <c r="I33" s="38" t="s">
        <v>1</v>
      </c>
      <c r="J33" s="30" t="s">
        <v>1</v>
      </c>
      <c r="K33" s="31">
        <v>4576</v>
      </c>
      <c r="L33" s="30">
        <v>16.783216783216783</v>
      </c>
      <c r="M33" s="36">
        <v>1040</v>
      </c>
      <c r="N33" s="37">
        <v>35.865384615384613</v>
      </c>
      <c r="O33" s="29">
        <v>15378</v>
      </c>
      <c r="P33" s="30">
        <v>7.9789309403043314</v>
      </c>
      <c r="Q33" s="34">
        <v>588.47084452394824</v>
      </c>
      <c r="R33" s="40">
        <v>44.52256742863198</v>
      </c>
    </row>
    <row r="34" spans="1:18" s="76" customFormat="1" ht="12.75" x14ac:dyDescent="0.2">
      <c r="A34" s="7" t="str">
        <f>VLOOKUP("&lt;Zeilentitel_20&gt;",Uebersetzungen!$B$3:$E$63,Uebersetzungen!$B$2+1,FALSE)</f>
        <v>Appenzell Ausserrhoden</v>
      </c>
      <c r="B34" s="115">
        <v>45311</v>
      </c>
      <c r="C34" s="29">
        <v>18829</v>
      </c>
      <c r="D34" s="30">
        <v>6.065112326730044</v>
      </c>
      <c r="E34" s="31">
        <v>13354</v>
      </c>
      <c r="F34" s="30">
        <v>8.0425340721881078</v>
      </c>
      <c r="G34" s="29">
        <v>3344</v>
      </c>
      <c r="H34" s="32">
        <v>18.69019138755981</v>
      </c>
      <c r="I34" s="38" t="s">
        <v>1</v>
      </c>
      <c r="J34" s="30" t="s">
        <v>1</v>
      </c>
      <c r="K34" s="39">
        <v>1132</v>
      </c>
      <c r="L34" s="35">
        <v>33.39222614840989</v>
      </c>
      <c r="M34" s="34">
        <v>364.34733999999997</v>
      </c>
      <c r="N34" s="37">
        <v>58.451877266347005</v>
      </c>
      <c r="O34" s="29">
        <v>7755</v>
      </c>
      <c r="P34" s="30">
        <v>11.36041263700838</v>
      </c>
      <c r="Q34" s="34">
        <v>476.55330320031413</v>
      </c>
      <c r="R34" s="40">
        <v>51.531022233521519</v>
      </c>
    </row>
    <row r="35" spans="1:18" s="76" customFormat="1" ht="12.75" x14ac:dyDescent="0.2">
      <c r="A35" s="7" t="str">
        <f>VLOOKUP("&lt;Zeilentitel_21&gt;",Uebersetzungen!$B$3:$E$63,Uebersetzungen!$B$2+1,FALSE)</f>
        <v>Appenzell Innerrhoden</v>
      </c>
      <c r="B35" s="115">
        <v>13088</v>
      </c>
      <c r="C35" s="29">
        <v>1394</v>
      </c>
      <c r="D35" s="30">
        <v>26.901004304160686</v>
      </c>
      <c r="E35" s="31">
        <v>9666</v>
      </c>
      <c r="F35" s="30">
        <v>5.6797020484171323</v>
      </c>
      <c r="G35" s="34">
        <v>300.40275000000003</v>
      </c>
      <c r="H35" s="37">
        <v>69.449856900444473</v>
      </c>
      <c r="I35" s="38" t="s">
        <v>1</v>
      </c>
      <c r="J35" s="30" t="s">
        <v>1</v>
      </c>
      <c r="K35" s="41">
        <v>481.66730000000001</v>
      </c>
      <c r="L35" s="35">
        <v>53.42598719074347</v>
      </c>
      <c r="M35" s="34" t="s">
        <v>1</v>
      </c>
      <c r="N35" s="37" t="s">
        <v>1</v>
      </c>
      <c r="O35" s="36">
        <v>1099</v>
      </c>
      <c r="P35" s="35">
        <v>32.848043676069153</v>
      </c>
      <c r="Q35" s="38" t="s">
        <v>1</v>
      </c>
      <c r="R35" s="33" t="s">
        <v>1</v>
      </c>
    </row>
    <row r="36" spans="1:18" s="76" customFormat="1" ht="12.75" x14ac:dyDescent="0.2">
      <c r="A36" s="7" t="str">
        <f>VLOOKUP("&lt;Zeilentitel_22&gt;",Uebersetzungen!$B$3:$E$63,Uebersetzungen!$B$2+1,FALSE)</f>
        <v>St. Gallen</v>
      </c>
      <c r="B36" s="115">
        <v>412848</v>
      </c>
      <c r="C36" s="29">
        <v>89654</v>
      </c>
      <c r="D36" s="30">
        <v>3.2335422847837241</v>
      </c>
      <c r="E36" s="31">
        <v>191739</v>
      </c>
      <c r="F36" s="30">
        <v>1.8420874209211482</v>
      </c>
      <c r="G36" s="29">
        <v>26339</v>
      </c>
      <c r="H36" s="32">
        <v>6.7884126200690993</v>
      </c>
      <c r="I36" s="34">
        <v>654.17442000000005</v>
      </c>
      <c r="J36" s="35">
        <v>44.492711897845219</v>
      </c>
      <c r="K36" s="31">
        <v>29123</v>
      </c>
      <c r="L36" s="30">
        <v>6.7918827043917176</v>
      </c>
      <c r="M36" s="29">
        <v>5205</v>
      </c>
      <c r="N36" s="32">
        <v>15.773294908741594</v>
      </c>
      <c r="O36" s="29">
        <v>67350</v>
      </c>
      <c r="P36" s="30">
        <v>3.9688195991091315</v>
      </c>
      <c r="Q36" s="29">
        <v>2783.3449800714379</v>
      </c>
      <c r="R36" s="33">
        <v>21.244499179021382</v>
      </c>
    </row>
    <row r="37" spans="1:18" s="76" customFormat="1" ht="12.75" x14ac:dyDescent="0.2">
      <c r="A37" s="65" t="str">
        <f>VLOOKUP("&lt;Zeilentitel_23&gt;",Uebersetzungen!$B$3:$E$63,Uebersetzungen!$B$2+1,FALSE)</f>
        <v>Graubünden</v>
      </c>
      <c r="B37" s="118">
        <v>167111</v>
      </c>
      <c r="C37" s="66">
        <v>56368</v>
      </c>
      <c r="D37" s="67">
        <v>3.7379364178257166</v>
      </c>
      <c r="E37" s="68">
        <v>71283</v>
      </c>
      <c r="F37" s="67">
        <v>3.1578356690936129</v>
      </c>
      <c r="G37" s="66">
        <v>6808</v>
      </c>
      <c r="H37" s="69">
        <v>13.41069330199765</v>
      </c>
      <c r="I37" s="70" t="s">
        <v>1</v>
      </c>
      <c r="J37" s="67" t="s">
        <v>1</v>
      </c>
      <c r="K37" s="68">
        <v>3332</v>
      </c>
      <c r="L37" s="67">
        <v>20.348139255702279</v>
      </c>
      <c r="M37" s="71">
        <v>1253</v>
      </c>
      <c r="N37" s="72">
        <v>31.843575418994412</v>
      </c>
      <c r="O37" s="66">
        <v>26377</v>
      </c>
      <c r="P37" s="67">
        <v>6.3312734579368399</v>
      </c>
      <c r="Q37" s="73">
        <v>1606.4249097183674</v>
      </c>
      <c r="R37" s="74">
        <v>27.972242605685029</v>
      </c>
    </row>
    <row r="38" spans="1:18" s="76" customFormat="1" ht="12.75" x14ac:dyDescent="0.2">
      <c r="A38" s="7" t="str">
        <f>VLOOKUP("&lt;Zeilentitel_24&gt;",Uebersetzungen!$B$3:$E$63,Uebersetzungen!$B$2+1,FALSE)</f>
        <v>Thurgau</v>
      </c>
      <c r="B38" s="115">
        <v>220681</v>
      </c>
      <c r="C38" s="29">
        <v>74622</v>
      </c>
      <c r="D38" s="30">
        <v>3.2711532791938036</v>
      </c>
      <c r="E38" s="31">
        <v>72507</v>
      </c>
      <c r="F38" s="30">
        <v>3.4038092873791497</v>
      </c>
      <c r="G38" s="29">
        <v>14976</v>
      </c>
      <c r="H38" s="32">
        <v>8.8207799145299148</v>
      </c>
      <c r="I38" s="34" t="s">
        <v>1</v>
      </c>
      <c r="J38" s="35" t="s">
        <v>1</v>
      </c>
      <c r="K38" s="31">
        <v>12704</v>
      </c>
      <c r="L38" s="30">
        <v>10.146410579345089</v>
      </c>
      <c r="M38" s="29">
        <v>2772</v>
      </c>
      <c r="N38" s="32">
        <v>21.067821067821068</v>
      </c>
      <c r="O38" s="29">
        <v>41488</v>
      </c>
      <c r="P38" s="30">
        <v>4.9315464712688009</v>
      </c>
      <c r="Q38" s="29">
        <v>1483.3243935920725</v>
      </c>
      <c r="R38" s="33">
        <v>28.73991782701405</v>
      </c>
    </row>
    <row r="39" spans="1:18" s="76" customFormat="1" ht="12.75" x14ac:dyDescent="0.2">
      <c r="A39" s="56" t="str">
        <f>VLOOKUP("&lt;Zeilentitel_25&gt;",Uebersetzungen!$B$3:$E$63,Uebersetzungen!$B$2+1,FALSE)</f>
        <v>Zentralschweiz</v>
      </c>
      <c r="B39" s="116">
        <v>651779</v>
      </c>
      <c r="C39" s="57">
        <v>68937</v>
      </c>
      <c r="D39" s="58">
        <v>3.133295617737935</v>
      </c>
      <c r="E39" s="59">
        <v>410046</v>
      </c>
      <c r="F39" s="58">
        <v>0.82917526326314606</v>
      </c>
      <c r="G39" s="57">
        <v>27151</v>
      </c>
      <c r="H39" s="60">
        <v>5.3810172737652389</v>
      </c>
      <c r="I39" s="64">
        <v>750.80588999999998</v>
      </c>
      <c r="J39" s="63">
        <v>32.86424271391904</v>
      </c>
      <c r="K39" s="59">
        <v>26693</v>
      </c>
      <c r="L39" s="58">
        <v>5.6981231034353579</v>
      </c>
      <c r="M39" s="57">
        <v>7383</v>
      </c>
      <c r="N39" s="60">
        <v>10.442909386428282</v>
      </c>
      <c r="O39" s="57">
        <v>105749</v>
      </c>
      <c r="P39" s="58">
        <v>2.5248465706531507</v>
      </c>
      <c r="Q39" s="57">
        <v>5070.4709352938826</v>
      </c>
      <c r="R39" s="61">
        <v>12.467079400137207</v>
      </c>
    </row>
    <row r="40" spans="1:18" s="76" customFormat="1" ht="12.75" x14ac:dyDescent="0.2">
      <c r="A40" s="7" t="str">
        <f>VLOOKUP("&lt;Zeilentitel_26&gt;",Uebersetzungen!$B$3:$E$63,Uebersetzungen!$B$2+1,FALSE)</f>
        <v>Luzern</v>
      </c>
      <c r="B40" s="115">
        <v>327990</v>
      </c>
      <c r="C40" s="29">
        <v>34015</v>
      </c>
      <c r="D40" s="30">
        <v>3.9012200499779506</v>
      </c>
      <c r="E40" s="31">
        <v>207774</v>
      </c>
      <c r="F40" s="30">
        <v>1.0097509794295725</v>
      </c>
      <c r="G40" s="29">
        <v>13971</v>
      </c>
      <c r="H40" s="32">
        <v>6.6065421229690076</v>
      </c>
      <c r="I40" s="34">
        <v>287.54586999999998</v>
      </c>
      <c r="J40" s="35">
        <v>46.314954897456886</v>
      </c>
      <c r="K40" s="31">
        <v>13787</v>
      </c>
      <c r="L40" s="30">
        <v>6.9703343729600356</v>
      </c>
      <c r="M40" s="29">
        <v>4022</v>
      </c>
      <c r="N40" s="32">
        <v>12.53107906514172</v>
      </c>
      <c r="O40" s="29">
        <v>51567</v>
      </c>
      <c r="P40" s="30">
        <v>3.1415440107045201</v>
      </c>
      <c r="Q40" s="29">
        <v>2565.7298543237853</v>
      </c>
      <c r="R40" s="33">
        <v>15.212685027776921</v>
      </c>
    </row>
    <row r="41" spans="1:18" s="76" customFormat="1" ht="12.75" x14ac:dyDescent="0.2">
      <c r="A41" s="7" t="str">
        <f>VLOOKUP("&lt;Zeilentitel_27&gt;",Uebersetzungen!$B$3:$E$63,Uebersetzungen!$B$2+1,FALSE)</f>
        <v>Uri</v>
      </c>
      <c r="B41" s="115">
        <v>29846</v>
      </c>
      <c r="C41" s="34">
        <v>1525</v>
      </c>
      <c r="D41" s="35">
        <v>28.065573770491802</v>
      </c>
      <c r="E41" s="31">
        <v>23950</v>
      </c>
      <c r="F41" s="30">
        <v>3.1983298538622127</v>
      </c>
      <c r="G41" s="34">
        <v>793.02560000000005</v>
      </c>
      <c r="H41" s="37">
        <v>41.735651408983507</v>
      </c>
      <c r="I41" s="29" t="s">
        <v>1</v>
      </c>
      <c r="J41" s="30" t="s">
        <v>1</v>
      </c>
      <c r="K41" s="41">
        <v>345.28868999999997</v>
      </c>
      <c r="L41" s="35">
        <v>66.210978413454541</v>
      </c>
      <c r="M41" s="34" t="s">
        <v>1</v>
      </c>
      <c r="N41" s="37" t="s">
        <v>1</v>
      </c>
      <c r="O41" s="29">
        <v>2951</v>
      </c>
      <c r="P41" s="30">
        <v>19.654354456116572</v>
      </c>
      <c r="Q41" s="38">
        <v>145.69180161068562</v>
      </c>
      <c r="R41" s="33">
        <v>86.358942189635158</v>
      </c>
    </row>
    <row r="42" spans="1:18" s="76" customFormat="1" ht="12.75" x14ac:dyDescent="0.2">
      <c r="A42" s="7" t="str">
        <f>VLOOKUP("&lt;Zeilentitel_28&gt;",Uebersetzungen!$B$3:$E$63,Uebersetzungen!$B$2+1,FALSE)</f>
        <v>Schwyz</v>
      </c>
      <c r="B42" s="115">
        <v>127729</v>
      </c>
      <c r="C42" s="29">
        <v>14070</v>
      </c>
      <c r="D42" s="30">
        <v>8.5501066098081022</v>
      </c>
      <c r="E42" s="31">
        <v>79173</v>
      </c>
      <c r="F42" s="30">
        <v>2.3669685372538618</v>
      </c>
      <c r="G42" s="29">
        <v>4871</v>
      </c>
      <c r="H42" s="32">
        <v>15.889960993635805</v>
      </c>
      <c r="I42" s="34">
        <v>229.73353</v>
      </c>
      <c r="J42" s="35">
        <v>73.206632048878532</v>
      </c>
      <c r="K42" s="31">
        <v>5999</v>
      </c>
      <c r="L42" s="30">
        <v>14.802467077846307</v>
      </c>
      <c r="M42" s="36">
        <v>1320</v>
      </c>
      <c r="N42" s="37">
        <v>31.136363636363633</v>
      </c>
      <c r="O42" s="29">
        <v>21037</v>
      </c>
      <c r="P42" s="30">
        <v>6.9876883586062659</v>
      </c>
      <c r="Q42" s="34">
        <v>1028.5541346207356</v>
      </c>
      <c r="R42" s="40">
        <v>34.316478938883002</v>
      </c>
    </row>
    <row r="43" spans="1:18" s="76" customFormat="1" ht="12.75" x14ac:dyDescent="0.2">
      <c r="A43" s="7" t="str">
        <f>VLOOKUP("&lt;Zeilentitel_29&gt;",Uebersetzungen!$B$3:$E$63,Uebersetzungen!$B$2+1,FALSE)</f>
        <v>Obwalden</v>
      </c>
      <c r="B43" s="115">
        <v>30646</v>
      </c>
      <c r="C43" s="29">
        <v>2583</v>
      </c>
      <c r="D43" s="30">
        <v>20.944638017808749</v>
      </c>
      <c r="E43" s="31">
        <v>22115</v>
      </c>
      <c r="F43" s="30">
        <v>3.8978069183811894</v>
      </c>
      <c r="G43" s="34">
        <v>848.35592999999994</v>
      </c>
      <c r="H43" s="37">
        <v>39.564062456662505</v>
      </c>
      <c r="I43" s="38" t="s">
        <v>1</v>
      </c>
      <c r="J43" s="30" t="s">
        <v>1</v>
      </c>
      <c r="K43" s="39">
        <v>938.75909000000001</v>
      </c>
      <c r="L43" s="35">
        <v>38.693730251922247</v>
      </c>
      <c r="M43" s="34">
        <v>200.36454000000001</v>
      </c>
      <c r="N43" s="37">
        <v>79.188238597508317</v>
      </c>
      <c r="O43" s="29">
        <v>3680</v>
      </c>
      <c r="P43" s="30">
        <v>17.445652173913043</v>
      </c>
      <c r="Q43" s="34">
        <v>280.77629050927101</v>
      </c>
      <c r="R43" s="40">
        <v>64.086670236886889</v>
      </c>
    </row>
    <row r="44" spans="1:18" s="76" customFormat="1" ht="12.75" x14ac:dyDescent="0.2">
      <c r="A44" s="7" t="str">
        <f>VLOOKUP("&lt;Zeilentitel_30&gt;",Uebersetzungen!$B$3:$E$63,Uebersetzungen!$B$2+1,FALSE)</f>
        <v>Nidwalden</v>
      </c>
      <c r="B44" s="115">
        <v>35765</v>
      </c>
      <c r="C44" s="29">
        <v>2847</v>
      </c>
      <c r="D44" s="30">
        <v>19.529329118370214</v>
      </c>
      <c r="E44" s="31">
        <v>23862</v>
      </c>
      <c r="F44" s="30">
        <v>4.0440868326209038</v>
      </c>
      <c r="G44" s="34">
        <v>1321</v>
      </c>
      <c r="H44" s="37">
        <v>29.371688115064345</v>
      </c>
      <c r="I44" s="38" t="s">
        <v>1</v>
      </c>
      <c r="J44" s="30" t="s">
        <v>1</v>
      </c>
      <c r="K44" s="41">
        <v>1077</v>
      </c>
      <c r="L44" s="35">
        <v>34.076137418755806</v>
      </c>
      <c r="M44" s="38">
        <v>280.34881999999999</v>
      </c>
      <c r="N44" s="32">
        <v>64.567337932793876</v>
      </c>
      <c r="O44" s="29">
        <v>6095</v>
      </c>
      <c r="P44" s="30">
        <v>12.682526661197702</v>
      </c>
      <c r="Q44" s="34">
        <v>252.91650194930395</v>
      </c>
      <c r="R44" s="40">
        <v>68.095025279579943</v>
      </c>
    </row>
    <row r="45" spans="1:18" s="76" customFormat="1" ht="12.75" x14ac:dyDescent="0.2">
      <c r="A45" s="7" t="str">
        <f>VLOOKUP("&lt;Zeilentitel_31&gt;",Uebersetzungen!$B$3:$E$63,Uebersetzungen!$B$2+1,FALSE)</f>
        <v>Zug</v>
      </c>
      <c r="B45" s="115">
        <v>99803</v>
      </c>
      <c r="C45" s="29">
        <v>13897</v>
      </c>
      <c r="D45" s="30">
        <v>5.9077498740735406</v>
      </c>
      <c r="E45" s="31">
        <v>53172</v>
      </c>
      <c r="F45" s="30">
        <v>2.2154517415180921</v>
      </c>
      <c r="G45" s="29">
        <v>5346</v>
      </c>
      <c r="H45" s="32">
        <v>10.456416011971568</v>
      </c>
      <c r="I45" s="34">
        <v>204.24135000000001</v>
      </c>
      <c r="J45" s="35">
        <v>52.902029877887117</v>
      </c>
      <c r="K45" s="31">
        <v>4545</v>
      </c>
      <c r="L45" s="30">
        <v>11.705170517051705</v>
      </c>
      <c r="M45" s="29">
        <v>1422</v>
      </c>
      <c r="N45" s="32">
        <v>21.167369901547119</v>
      </c>
      <c r="O45" s="29">
        <v>20420</v>
      </c>
      <c r="P45" s="30">
        <v>4.8971596474045054</v>
      </c>
      <c r="Q45" s="34">
        <v>796.80235228010179</v>
      </c>
      <c r="R45" s="40">
        <v>26.563923283194971</v>
      </c>
    </row>
    <row r="46" spans="1:18" s="76" customFormat="1" ht="13.5" thickBot="1" x14ac:dyDescent="0.25">
      <c r="A46" s="129" t="str">
        <f>VLOOKUP("&lt;Zeilentitel_32&gt;",Uebersetzungen!$B$3:$E$63,Uebersetzungen!$B$2+1,FALSE)</f>
        <v>Tessin</v>
      </c>
      <c r="B46" s="130">
        <v>296844</v>
      </c>
      <c r="C46" s="131">
        <v>11806</v>
      </c>
      <c r="D46" s="132">
        <v>6.7253938675249874</v>
      </c>
      <c r="E46" s="133">
        <v>204321</v>
      </c>
      <c r="F46" s="132">
        <v>0.93137758722794028</v>
      </c>
      <c r="G46" s="131">
        <v>15725</v>
      </c>
      <c r="H46" s="134">
        <v>5.9713831478537358</v>
      </c>
      <c r="I46" s="135">
        <v>395.05709999999999</v>
      </c>
      <c r="J46" s="136">
        <v>38.912731855724161</v>
      </c>
      <c r="K46" s="133">
        <v>5754</v>
      </c>
      <c r="L46" s="132">
        <v>10.497045533541884</v>
      </c>
      <c r="M46" s="131">
        <v>1958</v>
      </c>
      <c r="N46" s="134">
        <v>17.415730337078653</v>
      </c>
      <c r="O46" s="131">
        <v>51710</v>
      </c>
      <c r="P46" s="132">
        <v>3.0671050087023786</v>
      </c>
      <c r="Q46" s="131">
        <v>5175.5465026207894</v>
      </c>
      <c r="R46" s="137">
        <v>10.369911703685615</v>
      </c>
    </row>
    <row r="47" spans="1:18" s="76" customFormat="1" ht="12.75" x14ac:dyDescent="0.2">
      <c r="A47" s="8"/>
      <c r="B47" s="5"/>
      <c r="C47" s="9"/>
      <c r="D47" s="10"/>
      <c r="E47" s="10"/>
      <c r="F47" s="10"/>
      <c r="G47" s="11"/>
      <c r="H47" s="12"/>
      <c r="I47" s="11"/>
      <c r="J47" s="12"/>
      <c r="K47" s="11"/>
      <c r="L47" s="12"/>
      <c r="M47" s="11"/>
      <c r="N47" s="12"/>
      <c r="O47" s="11"/>
      <c r="P47" s="12"/>
      <c r="Q47" s="11"/>
      <c r="R47" s="12"/>
    </row>
    <row r="48" spans="1:18" s="76" customFormat="1" ht="12.75" x14ac:dyDescent="0.2">
      <c r="A48" s="16" t="str">
        <f>VLOOKUP("&lt;Legende_1&gt;",Uebersetzungen!$B$3:$E$63,Uebersetzungen!$B$2+1,FALSE)</f>
        <v xml:space="preserve">Ab 2010 stammen die Daten aus einer Stichprobenerhebung der ständigen Wohnbevölkerung ab vollendetem 15. Altersjahr, die in Privathaushalten lebt. </v>
      </c>
      <c r="B48" s="5"/>
      <c r="C48" s="9"/>
      <c r="D48" s="10"/>
      <c r="E48" s="10"/>
      <c r="F48" s="10"/>
      <c r="G48" s="11"/>
      <c r="H48" s="12"/>
      <c r="I48" s="11"/>
      <c r="J48" s="12"/>
      <c r="K48" s="11"/>
      <c r="L48" s="12"/>
      <c r="M48" s="11"/>
      <c r="N48" s="12"/>
      <c r="O48" s="11"/>
      <c r="P48" s="12"/>
      <c r="Q48" s="11"/>
      <c r="R48" s="12"/>
    </row>
    <row r="49" spans="1:18" s="76" customFormat="1" ht="12.75" x14ac:dyDescent="0.2">
      <c r="A49" s="16" t="str">
        <f>VLOOKUP("&lt;Legende_2&gt;",Uebersetzungen!$B$3:$E$63,Uebersetzungen!$B$2+1,FALSE)</f>
        <v>Nicht befragt wurden Diplomaten, internationale Funktionäre und deren Familienangehörige. Diese Daten sind mit jenen der frühreren Jahre nicht direkt vergleichbar.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s="76" customFormat="1" ht="12.75" x14ac:dyDescent="0.2">
      <c r="A50" s="16" t="str">
        <f>VLOOKUP("&lt;Legende_3&gt;",Uebersetzungen!$B$3:$E$63,Uebersetzungen!$B$2+1,FALSE)</f>
        <v>Das Vertrauensintervall zeigt die Genauigkeit der Resultate einer Stichprobenerhebung.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1:18" s="76" customFormat="1" ht="12.75" x14ac:dyDescent="0.2">
      <c r="A51" s="16" t="str">
        <f>VLOOKUP("&lt;Legende_4&gt;",Uebersetzungen!$B$3:$E$63,Uebersetzungen!$B$2+1,FALSE)</f>
        <v>(): Extrapolation aufgrund von 49 oder weniger Beobachtungen. Die Resultate sind mit grosser Vorsicht zu interpretieren.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s="76" customFormat="1" ht="12.75" x14ac:dyDescent="0.2">
      <c r="A52" s="13" t="str">
        <f>VLOOKUP("&lt;Legende_5&gt;",Uebersetzungen!$B$3:$E$63,Uebersetzungen!$B$2+1,FALSE)</f>
        <v>X: Extrapolation aufgrund von 4 oder weniger Beobachtungen. Die Resultate werden aus Gründen des Datenschutzes nicht publiziert.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s="76" customFormat="1" ht="12.75" x14ac:dyDescent="0.2">
      <c r="A53" s="13" t="str">
        <f>VLOOKUP("&lt;Legende_6&gt;",Uebersetzungen!$B$3:$E$63,Uebersetzungen!$B$2+1,FALSE)</f>
        <v>* inkl. andere aus dem Islam hervorgegangene Gemeinschaften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 s="76" customFormat="1" ht="12.75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18" s="76" customFormat="1" ht="12.75" x14ac:dyDescent="0.2">
      <c r="A55" s="16" t="str">
        <f>VLOOKUP("&lt;quelle_1&gt;",Uebersetzungen!$B$3:$E$63,Uebersetzungen!$B$2+1,FALSE)</f>
        <v>Quelle: BFS (Strukturerhebung)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8" s="76" customFormat="1" ht="12.75" x14ac:dyDescent="0.2">
      <c r="A56" s="13" t="str">
        <f>VLOOKUP("&lt;aktualisierung&gt;",Uebersetzungen!$B$3:$E$213,Uebersetzungen!$B$2+1,FALSE)</f>
        <v>Letztmals aktualisiert am: 29.01.2026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</sheetData>
  <sheetProtection sheet="1" objects="1" scenarios="1"/>
  <mergeCells count="11">
    <mergeCell ref="Q13:R13"/>
    <mergeCell ref="A7:D7"/>
    <mergeCell ref="B12:R12"/>
    <mergeCell ref="B13:B14"/>
    <mergeCell ref="C13:D13"/>
    <mergeCell ref="E13:F13"/>
    <mergeCell ref="G13:H13"/>
    <mergeCell ref="I13:J13"/>
    <mergeCell ref="K13:L13"/>
    <mergeCell ref="M13:N13"/>
    <mergeCell ref="O13:P13"/>
  </mergeCells>
  <pageMargins left="0.7" right="0.7" top="0.75" bottom="0.75" header="0.3" footer="0.3"/>
  <pageSetup paperSize="9" orientation="portrait" r:id="rId1"/>
  <ignoredErrors>
    <ignoredError sqref="D14 F14 H14 J14 L14 N14 P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Option Button 1">
              <controlPr defaultSize="0" autoFill="0" autoLine="0" autoPict="0">
                <anchor moveWithCells="1">
                  <from>
                    <xdr:col>6</xdr:col>
                    <xdr:colOff>295275</xdr:colOff>
                    <xdr:row>1</xdr:row>
                    <xdr:rowOff>114300</xdr:rowOff>
                  </from>
                  <to>
                    <xdr:col>7</xdr:col>
                    <xdr:colOff>695325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Option Button 2">
              <controlPr defaultSize="0" autoFill="0" autoLine="0" autoPict="0">
                <anchor moveWithCells="1">
                  <from>
                    <xdr:col>6</xdr:col>
                    <xdr:colOff>295275</xdr:colOff>
                    <xdr:row>2</xdr:row>
                    <xdr:rowOff>104775</xdr:rowOff>
                  </from>
                  <to>
                    <xdr:col>8</xdr:col>
                    <xdr:colOff>276225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Option Button 3">
              <controlPr defaultSize="0" autoFill="0" autoLine="0" autoPict="0">
                <anchor moveWithCells="1">
                  <from>
                    <xdr:col>6</xdr:col>
                    <xdr:colOff>295275</xdr:colOff>
                    <xdr:row>3</xdr:row>
                    <xdr:rowOff>66675</xdr:rowOff>
                  </from>
                  <to>
                    <xdr:col>7</xdr:col>
                    <xdr:colOff>695325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56"/>
  <sheetViews>
    <sheetView showGridLines="0" workbookViewId="0"/>
  </sheetViews>
  <sheetFormatPr baseColWidth="10" defaultColWidth="9.140625" defaultRowHeight="14.25" x14ac:dyDescent="0.2"/>
  <cols>
    <col min="1" max="1" width="22.7109375" style="53" customWidth="1"/>
    <col min="2" max="2" width="9.140625" style="53" customWidth="1"/>
    <col min="3" max="18" width="12.42578125" style="53" customWidth="1"/>
    <col min="19" max="16384" width="9.140625" style="77"/>
  </cols>
  <sheetData>
    <row r="1" spans="1:18" s="75" customFormat="1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75" customFormat="1" ht="15.75" x14ac:dyDescent="0.25">
      <c r="A2" s="1"/>
      <c r="B2" s="15"/>
      <c r="C2" s="53"/>
      <c r="D2" s="5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75" customFormat="1" ht="15.75" x14ac:dyDescent="0.25">
      <c r="A3" s="1"/>
      <c r="B3" s="15"/>
      <c r="C3" s="53"/>
      <c r="D3" s="5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s="75" customFormat="1" ht="15.75" x14ac:dyDescent="0.25">
      <c r="A4" s="1"/>
      <c r="B4" s="15"/>
      <c r="C4" s="53"/>
      <c r="D4" s="5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75" customFormat="1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s="75" customFormat="1" ht="12.7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s="75" customFormat="1" ht="15.75" customHeight="1" x14ac:dyDescent="0.2">
      <c r="A7" s="146" t="str">
        <f>VLOOKUP("&lt;Fachbereich&gt;",Uebersetzungen!$B$3:$E$63,Uebersetzungen!$B$2+1,FALSE)</f>
        <v>Daten &amp; Statistik</v>
      </c>
      <c r="B7" s="146"/>
      <c r="C7" s="146"/>
      <c r="D7" s="146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</row>
    <row r="8" spans="1:18" s="75" customFormat="1" ht="12.7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s="76" customFormat="1" ht="18" x14ac:dyDescent="0.2">
      <c r="A9" s="19" t="str">
        <f>VLOOKUP("&lt;Titel&gt;",Uebersetzungen!$B$3:$E$63,Uebersetzungen!$B$2+1,FALSE)</f>
        <v>Religionszugehörigkeit nach Kanton</v>
      </c>
      <c r="B9" s="54"/>
      <c r="C9" s="55"/>
      <c r="D9" s="55"/>
      <c r="E9" s="55"/>
      <c r="F9" s="55"/>
      <c r="G9" s="55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s="76" customFormat="1" ht="12.75" x14ac:dyDescent="0.2">
      <c r="A10" s="20" t="str">
        <f>VLOOKUP("&lt;UTitel&gt;",Uebersetzungen!$B$3:$E$63,Uebersetzungen!$B$2+1,FALSE)</f>
        <v>Ständige Wohnbevölkerung ab 15 Jahren</v>
      </c>
      <c r="B10" s="54"/>
      <c r="C10" s="55"/>
      <c r="D10" s="55"/>
      <c r="E10" s="55"/>
      <c r="F10" s="55"/>
      <c r="G10" s="5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8.75" thickBot="1" x14ac:dyDescent="0.3">
      <c r="B11" s="17"/>
      <c r="C11" s="18"/>
      <c r="D11" s="4"/>
      <c r="E11" s="4"/>
      <c r="F11" s="4"/>
      <c r="G11" s="4"/>
      <c r="H11" s="4"/>
      <c r="I11" s="4"/>
      <c r="J11" s="4"/>
    </row>
    <row r="12" spans="1:18" s="78" customFormat="1" ht="18" x14ac:dyDescent="0.25">
      <c r="A12" s="3"/>
      <c r="B12" s="158">
        <v>2013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60"/>
    </row>
    <row r="13" spans="1:18" s="78" customFormat="1" ht="37.5" customHeight="1" x14ac:dyDescent="0.25">
      <c r="A13" s="3"/>
      <c r="B13" s="157" t="str">
        <f>VLOOKUP("&lt;SpaltenTitel_1&gt;",Uebersetzungen!$B$3:$E$63,Uebersetzungen!$B$2+1,FALSE)</f>
        <v>Total</v>
      </c>
      <c r="C13" s="152" t="str">
        <f>VLOOKUP("&lt;SpaltenTitel_2&gt;",Uebersetzungen!$B$3:$E$63,Uebersetzungen!$B$2+1,FALSE)</f>
        <v>Evangelisch-reformiert</v>
      </c>
      <c r="D13" s="152"/>
      <c r="E13" s="152" t="str">
        <f>VLOOKUP("&lt;SpaltenTitel_3&gt;",Uebersetzungen!$B$3:$E$63,Uebersetzungen!$B$2+1,FALSE)</f>
        <v>Römisch-katholisch</v>
      </c>
      <c r="F13" s="152"/>
      <c r="G13" s="152" t="str">
        <f>VLOOKUP("&lt;SpaltenTitel_4&gt;",Uebersetzungen!$B$3:$E$63,Uebersetzungen!$B$2+1,FALSE)</f>
        <v>Andere christliche Glaubensgemeinschaften</v>
      </c>
      <c r="H13" s="152"/>
      <c r="I13" s="152" t="str">
        <f>VLOOKUP("&lt;SpaltenTitel_5&gt;",Uebersetzungen!$B$3:$E$63,Uebersetzungen!$B$2+1,FALSE)</f>
        <v>Jüdische Glaubensgemeinschaften</v>
      </c>
      <c r="J13" s="152"/>
      <c r="K13" s="152" t="str">
        <f>VLOOKUP("&lt;SpaltenTitel_6&gt;",Uebersetzungen!$B$3:$E$63,Uebersetzungen!$B$2+1,FALSE)</f>
        <v>Islamische Glaubensgem.*</v>
      </c>
      <c r="L13" s="152"/>
      <c r="M13" s="152" t="str">
        <f>VLOOKUP("&lt;SpaltenTitel_7&gt;",Uebersetzungen!$B$3:$E$63,Uebersetzungen!$B$2+1,FALSE)</f>
        <v>Andere Religionsgemeinschaften</v>
      </c>
      <c r="N13" s="152"/>
      <c r="O13" s="152" t="str">
        <f>VLOOKUP("&lt;SpaltenTitel_8&gt;",Uebersetzungen!$B$3:$E$63,Uebersetzungen!$B$2+1,FALSE)</f>
        <v>Ohne Religionszugehörigkeit</v>
      </c>
      <c r="P13" s="152"/>
      <c r="Q13" s="152" t="str">
        <f>VLOOKUP("&lt;SpaltenTitel_9&gt;",Uebersetzungen!$B$3:$E$63,Uebersetzungen!$B$2+1,FALSE)</f>
        <v>Religionszugehörigkeit unbekannt</v>
      </c>
      <c r="R13" s="153"/>
    </row>
    <row r="14" spans="1:18" s="78" customFormat="1" ht="39" thickBot="1" x14ac:dyDescent="0.3">
      <c r="A14" s="6"/>
      <c r="B14" s="151"/>
      <c r="C14" s="112" t="str">
        <f>VLOOKUP("&lt;SpaltenTitel_2.1&gt;",Uebersetzungen!$B$3:$E$63,Uebersetzungen!$B$2+1,FALSE)</f>
        <v>Anzahl Personen</v>
      </c>
      <c r="D14" s="112" t="str">
        <f>VLOOKUP("&lt;SpaltenTitel_2.2&gt;",Uebersetzungen!$B$3:$E$63,Uebersetzungen!$B$2+1,FALSE)</f>
        <v>Vertrauens- intervall:          ± (in %)</v>
      </c>
      <c r="E14" s="112" t="str">
        <f>VLOOKUP("&lt;SpaltenTitel_2.1&gt;",Uebersetzungen!$B$3:$E$63,Uebersetzungen!$B$2+1,FALSE)</f>
        <v>Anzahl Personen</v>
      </c>
      <c r="F14" s="112" t="str">
        <f>VLOOKUP("&lt;SpaltenTitel_2.2&gt;",Uebersetzungen!$B$3:$E$63,Uebersetzungen!$B$2+1,FALSE)</f>
        <v>Vertrauens- intervall:          ± (in %)</v>
      </c>
      <c r="G14" s="112" t="str">
        <f>VLOOKUP("&lt;SpaltenTitel_2.1&gt;",Uebersetzungen!$B$3:$E$63,Uebersetzungen!$B$2+1,FALSE)</f>
        <v>Anzahl Personen</v>
      </c>
      <c r="H14" s="112" t="str">
        <f>VLOOKUP("&lt;SpaltenTitel_2.2&gt;",Uebersetzungen!$B$3:$E$63,Uebersetzungen!$B$2+1,FALSE)</f>
        <v>Vertrauens- intervall:          ± (in %)</v>
      </c>
      <c r="I14" s="112" t="str">
        <f>VLOOKUP("&lt;SpaltenTitel_2.1&gt;",Uebersetzungen!$B$3:$E$63,Uebersetzungen!$B$2+1,FALSE)</f>
        <v>Anzahl Personen</v>
      </c>
      <c r="J14" s="112" t="str">
        <f>VLOOKUP("&lt;SpaltenTitel_2.2&gt;",Uebersetzungen!$B$3:$E$63,Uebersetzungen!$B$2+1,FALSE)</f>
        <v>Vertrauens- intervall:          ± (in %)</v>
      </c>
      <c r="K14" s="112" t="str">
        <f>VLOOKUP("&lt;SpaltenTitel_2.1&gt;",Uebersetzungen!$B$3:$E$63,Uebersetzungen!$B$2+1,FALSE)</f>
        <v>Anzahl Personen</v>
      </c>
      <c r="L14" s="112" t="str">
        <f>VLOOKUP("&lt;SpaltenTitel_2.2&gt;",Uebersetzungen!$B$3:$E$63,Uebersetzungen!$B$2+1,FALSE)</f>
        <v>Vertrauens- intervall:          ± (in %)</v>
      </c>
      <c r="M14" s="112" t="str">
        <f>VLOOKUP("&lt;SpaltenTitel_2.1&gt;",Uebersetzungen!$B$3:$E$63,Uebersetzungen!$B$2+1,FALSE)</f>
        <v>Anzahl Personen</v>
      </c>
      <c r="N14" s="112" t="str">
        <f>VLOOKUP("&lt;SpaltenTitel_2.2&gt;",Uebersetzungen!$B$3:$E$63,Uebersetzungen!$B$2+1,FALSE)</f>
        <v>Vertrauens- intervall:          ± (in %)</v>
      </c>
      <c r="O14" s="112" t="str">
        <f>VLOOKUP("&lt;SpaltenTitel_2.1&gt;",Uebersetzungen!$B$3:$E$63,Uebersetzungen!$B$2+1,FALSE)</f>
        <v>Anzahl Personen</v>
      </c>
      <c r="P14" s="112" t="str">
        <f>VLOOKUP("&lt;SpaltenTitel_2.2&gt;",Uebersetzungen!$B$3:$E$63,Uebersetzungen!$B$2+1,FALSE)</f>
        <v>Vertrauens- intervall:          ± (in %)</v>
      </c>
      <c r="Q14" s="112" t="str">
        <f>VLOOKUP("&lt;SpaltenTitel_2.1&gt;",Uebersetzungen!$B$3:$E$63,Uebersetzungen!$B$2+1,FALSE)</f>
        <v>Anzahl Personen</v>
      </c>
      <c r="R14" s="113" t="str">
        <f>VLOOKUP("&lt;SpaltenTitel_2.2&gt;",Uebersetzungen!$B$3:$E$63,Uebersetzungen!$B$2+1,FALSE)</f>
        <v>Vertrauens- intervall:          ± (in %)</v>
      </c>
    </row>
    <row r="15" spans="1:18" s="76" customFormat="1" ht="12.75" x14ac:dyDescent="0.2">
      <c r="A15" s="14" t="str">
        <f>VLOOKUP("&lt;Zeilentitel_1&gt;",Uebersetzungen!$B$3:$E$63,Uebersetzungen!$B$2+1,FALSE)</f>
        <v>Total</v>
      </c>
      <c r="B15" s="28">
        <v>6744794</v>
      </c>
      <c r="C15" s="108">
        <v>1762892</v>
      </c>
      <c r="D15" s="119">
        <v>0.6</v>
      </c>
      <c r="E15" s="120">
        <v>2562396</v>
      </c>
      <c r="F15" s="119">
        <v>0.5</v>
      </c>
      <c r="G15" s="109">
        <v>389608</v>
      </c>
      <c r="H15" s="121">
        <v>1.6</v>
      </c>
      <c r="I15" s="109">
        <v>16830</v>
      </c>
      <c r="J15" s="119">
        <v>7.5</v>
      </c>
      <c r="K15" s="110">
        <v>341572</v>
      </c>
      <c r="L15" s="119">
        <v>1.8</v>
      </c>
      <c r="M15" s="109">
        <v>89259</v>
      </c>
      <c r="N15" s="121">
        <v>3.4</v>
      </c>
      <c r="O15" s="108">
        <v>1497521</v>
      </c>
      <c r="P15" s="119">
        <v>0.7</v>
      </c>
      <c r="Q15" s="109">
        <v>84716.985357880709</v>
      </c>
      <c r="R15" s="122">
        <v>3.2661909219913134</v>
      </c>
    </row>
    <row r="16" spans="1:18" s="76" customFormat="1" ht="12.75" x14ac:dyDescent="0.2">
      <c r="A16" s="56" t="str">
        <f>VLOOKUP("&lt;Zeilentitel_2&gt;",Uebersetzungen!$B$3:$E$63,Uebersetzungen!$B$2+1,FALSE)</f>
        <v>Genferseeregion</v>
      </c>
      <c r="B16" s="114">
        <v>1237720</v>
      </c>
      <c r="C16" s="57">
        <v>205416</v>
      </c>
      <c r="D16" s="58">
        <v>1.5519725824667989</v>
      </c>
      <c r="E16" s="59">
        <v>518900</v>
      </c>
      <c r="F16" s="58">
        <v>0.85141645789169396</v>
      </c>
      <c r="G16" s="57">
        <v>68098</v>
      </c>
      <c r="H16" s="60">
        <v>3.1131604452406823</v>
      </c>
      <c r="I16" s="57">
        <v>6241</v>
      </c>
      <c r="J16" s="58">
        <v>10.318859157186349</v>
      </c>
      <c r="K16" s="59">
        <v>57815</v>
      </c>
      <c r="L16" s="58">
        <v>3.5406036495719109</v>
      </c>
      <c r="M16" s="57">
        <v>16121</v>
      </c>
      <c r="N16" s="60">
        <v>6.5442590410024186</v>
      </c>
      <c r="O16" s="57">
        <v>335284</v>
      </c>
      <c r="P16" s="58">
        <v>1.2079311866954581</v>
      </c>
      <c r="Q16" s="57">
        <v>29846.063929998443</v>
      </c>
      <c r="R16" s="61">
        <v>4.8379319455170995</v>
      </c>
    </row>
    <row r="17" spans="1:18" s="76" customFormat="1" ht="12.75" x14ac:dyDescent="0.2">
      <c r="A17" s="7" t="str">
        <f>VLOOKUP("&lt;Zeilentitel_3&gt;",Uebersetzungen!$B$3:$E$63,Uebersetzungen!$B$2+1,FALSE)</f>
        <v>Waadt</v>
      </c>
      <c r="B17" s="115">
        <v>608946</v>
      </c>
      <c r="C17" s="29">
        <v>155867</v>
      </c>
      <c r="D17" s="30">
        <v>1.6430674870241937</v>
      </c>
      <c r="E17" s="31">
        <v>190278</v>
      </c>
      <c r="F17" s="30">
        <v>1.4888741735776074</v>
      </c>
      <c r="G17" s="29">
        <v>39790</v>
      </c>
      <c r="H17" s="32">
        <v>3.7848705704950989</v>
      </c>
      <c r="I17" s="29">
        <v>1938</v>
      </c>
      <c r="J17" s="30">
        <v>18.059855521155832</v>
      </c>
      <c r="K17" s="31">
        <v>28889</v>
      </c>
      <c r="L17" s="30">
        <v>4.66959742462529</v>
      </c>
      <c r="M17" s="29">
        <v>8885</v>
      </c>
      <c r="N17" s="32">
        <v>8.2948790095666851</v>
      </c>
      <c r="O17" s="29">
        <v>169929</v>
      </c>
      <c r="P17" s="30">
        <v>1.6153805412848894</v>
      </c>
      <c r="Q17" s="29">
        <v>13369.655621770353</v>
      </c>
      <c r="R17" s="33">
        <v>6.6617790504679704</v>
      </c>
    </row>
    <row r="18" spans="1:18" s="76" customFormat="1" ht="12.75" x14ac:dyDescent="0.2">
      <c r="A18" s="7" t="str">
        <f>VLOOKUP("&lt;Zeilentitel_4&gt;",Uebersetzungen!$B$3:$E$63,Uebersetzungen!$B$2+1,FALSE)</f>
        <v>Wallis</v>
      </c>
      <c r="B18" s="115">
        <v>272021</v>
      </c>
      <c r="C18" s="29">
        <v>15850</v>
      </c>
      <c r="D18" s="30">
        <v>8.4164037854889582</v>
      </c>
      <c r="E18" s="31">
        <v>202169</v>
      </c>
      <c r="F18" s="30">
        <v>1.2464819037537902</v>
      </c>
      <c r="G18" s="29">
        <v>7797</v>
      </c>
      <c r="H18" s="32">
        <v>12.568936770552778</v>
      </c>
      <c r="I18" s="34">
        <v>328.45684</v>
      </c>
      <c r="J18" s="35">
        <v>64.526593509211153</v>
      </c>
      <c r="K18" s="31">
        <v>7568</v>
      </c>
      <c r="L18" s="30">
        <v>13.306025369978858</v>
      </c>
      <c r="M18" s="36">
        <v>1610</v>
      </c>
      <c r="N18" s="37">
        <v>28.633540372670808</v>
      </c>
      <c r="O18" s="29">
        <v>31712</v>
      </c>
      <c r="P18" s="30">
        <v>5.9346619576185669</v>
      </c>
      <c r="Q18" s="29">
        <v>4987.1818687517552</v>
      </c>
      <c r="R18" s="33">
        <v>15.465788457803626</v>
      </c>
    </row>
    <row r="19" spans="1:18" s="76" customFormat="1" ht="12.75" x14ac:dyDescent="0.2">
      <c r="A19" s="7" t="str">
        <f>VLOOKUP("&lt;Zeilentitel_5&gt;",Uebersetzungen!$B$3:$E$63,Uebersetzungen!$B$2+1,FALSE)</f>
        <v>Genf</v>
      </c>
      <c r="B19" s="115">
        <v>356753</v>
      </c>
      <c r="C19" s="29">
        <v>33699</v>
      </c>
      <c r="D19" s="30">
        <v>4.0149559334104872</v>
      </c>
      <c r="E19" s="31">
        <v>126453</v>
      </c>
      <c r="F19" s="30">
        <v>1.7982966003179046</v>
      </c>
      <c r="G19" s="29">
        <v>20511</v>
      </c>
      <c r="H19" s="32">
        <v>5.4897372141777581</v>
      </c>
      <c r="I19" s="29">
        <v>3975</v>
      </c>
      <c r="J19" s="30">
        <v>12.50314465408805</v>
      </c>
      <c r="K19" s="31">
        <v>21357</v>
      </c>
      <c r="L19" s="30">
        <v>5.4595682914266987</v>
      </c>
      <c r="M19" s="29">
        <v>5626</v>
      </c>
      <c r="N19" s="32">
        <v>10.629221471738358</v>
      </c>
      <c r="O19" s="29">
        <v>133642</v>
      </c>
      <c r="P19" s="30">
        <v>1.729995061432783</v>
      </c>
      <c r="Q19" s="29">
        <v>11489.226439476337</v>
      </c>
      <c r="R19" s="33">
        <v>7.265862276356823</v>
      </c>
    </row>
    <row r="20" spans="1:18" s="76" customFormat="1" ht="12.75" x14ac:dyDescent="0.2">
      <c r="A20" s="56" t="str">
        <f>VLOOKUP("&lt;Zeilentitel_6&gt;",Uebersetzungen!$B$3:$E$63,Uebersetzungen!$B$2+1,FALSE)</f>
        <v>Espace Mittelland</v>
      </c>
      <c r="B20" s="114">
        <v>1507192</v>
      </c>
      <c r="C20" s="57">
        <v>574270</v>
      </c>
      <c r="D20" s="58">
        <v>0.98281296254375117</v>
      </c>
      <c r="E20" s="59">
        <v>441838</v>
      </c>
      <c r="F20" s="58">
        <v>1.1902552519249137</v>
      </c>
      <c r="G20" s="57">
        <v>84348</v>
      </c>
      <c r="H20" s="60">
        <v>3.4938587755489166</v>
      </c>
      <c r="I20" s="62">
        <v>1164</v>
      </c>
      <c r="J20" s="63">
        <v>28.865979381443296</v>
      </c>
      <c r="K20" s="59">
        <v>62658</v>
      </c>
      <c r="L20" s="58">
        <v>4.4112483641354654</v>
      </c>
      <c r="M20" s="57">
        <v>18979</v>
      </c>
      <c r="N20" s="60">
        <v>7.6610991095421257</v>
      </c>
      <c r="O20" s="57">
        <v>304186</v>
      </c>
      <c r="P20" s="58">
        <v>1.6282800654862484</v>
      </c>
      <c r="Q20" s="57">
        <v>19749.297477062744</v>
      </c>
      <c r="R20" s="61">
        <v>7.1799579866089767</v>
      </c>
    </row>
    <row r="21" spans="1:18" s="76" customFormat="1" ht="12.75" x14ac:dyDescent="0.2">
      <c r="A21" s="7" t="str">
        <f>VLOOKUP("&lt;Zeilentitel_7&gt;",Uebersetzungen!$B$3:$E$63,Uebersetzungen!$B$2+1,FALSE)</f>
        <v>Bern</v>
      </c>
      <c r="B21" s="115">
        <v>840897</v>
      </c>
      <c r="C21" s="29">
        <v>453024</v>
      </c>
      <c r="D21" s="30">
        <v>1</v>
      </c>
      <c r="E21" s="31">
        <v>137074</v>
      </c>
      <c r="F21" s="30">
        <v>2.5701445934312854</v>
      </c>
      <c r="G21" s="29">
        <v>55443</v>
      </c>
      <c r="H21" s="32">
        <v>4.3576285554533492</v>
      </c>
      <c r="I21" s="34">
        <v>681.64941999999996</v>
      </c>
      <c r="J21" s="35">
        <v>38.092001897397644</v>
      </c>
      <c r="K21" s="31">
        <v>31477</v>
      </c>
      <c r="L21" s="30">
        <v>6.2712456714426406</v>
      </c>
      <c r="M21" s="29">
        <v>12326</v>
      </c>
      <c r="N21" s="32">
        <v>9.5002433879604098</v>
      </c>
      <c r="O21" s="29">
        <v>142122</v>
      </c>
      <c r="P21" s="30">
        <v>2.519666202276917</v>
      </c>
      <c r="Q21" s="29">
        <v>8749.3214503805011</v>
      </c>
      <c r="R21" s="33">
        <v>11.30330517371975</v>
      </c>
    </row>
    <row r="22" spans="1:18" s="76" customFormat="1" ht="12.75" x14ac:dyDescent="0.2">
      <c r="A22" s="7" t="str">
        <f>VLOOKUP("&lt;Zeilentitel_8&gt;",Uebersetzungen!$B$3:$E$63,Uebersetzungen!$B$2+1,FALSE)</f>
        <v>Freiburg</v>
      </c>
      <c r="B22" s="115">
        <v>240899</v>
      </c>
      <c r="C22" s="29">
        <v>30972</v>
      </c>
      <c r="D22" s="30">
        <v>5.7568126049334882</v>
      </c>
      <c r="E22" s="31">
        <v>150445</v>
      </c>
      <c r="F22" s="30">
        <v>1.726212237030144</v>
      </c>
      <c r="G22" s="29">
        <v>8375</v>
      </c>
      <c r="H22" s="32">
        <v>11.940298507462686</v>
      </c>
      <c r="I22" s="34">
        <v>192.7739</v>
      </c>
      <c r="J22" s="35">
        <v>78.83802215963884</v>
      </c>
      <c r="K22" s="31">
        <v>9325</v>
      </c>
      <c r="L22" s="30">
        <v>12.171581769436997</v>
      </c>
      <c r="M22" s="29">
        <v>1353</v>
      </c>
      <c r="N22" s="32">
        <v>30.229120473022913</v>
      </c>
      <c r="O22" s="29">
        <v>35969</v>
      </c>
      <c r="P22" s="30">
        <v>5.3629514303983985</v>
      </c>
      <c r="Q22" s="29">
        <v>4267.4402186501211</v>
      </c>
      <c r="R22" s="33">
        <v>16.707617756350924</v>
      </c>
    </row>
    <row r="23" spans="1:18" s="76" customFormat="1" ht="12.75" x14ac:dyDescent="0.2">
      <c r="A23" s="7" t="str">
        <f>VLOOKUP("&lt;Zeilentitel_9&gt;",Uebersetzungen!$B$3:$E$63,Uebersetzungen!$B$2+1,FALSE)</f>
        <v>Solothurn</v>
      </c>
      <c r="B23" s="115">
        <v>220463</v>
      </c>
      <c r="C23" s="29">
        <v>52381</v>
      </c>
      <c r="D23" s="30">
        <v>4.1961780034745422</v>
      </c>
      <c r="E23" s="31">
        <v>78325</v>
      </c>
      <c r="F23" s="30">
        <v>3.1828917969996811</v>
      </c>
      <c r="G23" s="29">
        <v>10022</v>
      </c>
      <c r="H23" s="32">
        <v>11.195370185591697</v>
      </c>
      <c r="I23" s="38" t="s">
        <v>1</v>
      </c>
      <c r="J23" s="30" t="s">
        <v>1</v>
      </c>
      <c r="K23" s="31">
        <v>14394</v>
      </c>
      <c r="L23" s="30">
        <v>9.8304849242740033</v>
      </c>
      <c r="M23" s="29">
        <v>3127</v>
      </c>
      <c r="N23" s="32">
        <v>21.362328110009592</v>
      </c>
      <c r="O23" s="29">
        <v>60209</v>
      </c>
      <c r="P23" s="30">
        <v>3.8997492069291968</v>
      </c>
      <c r="Q23" s="29">
        <v>1911.3553561431625</v>
      </c>
      <c r="R23" s="33">
        <v>25.881898889182029</v>
      </c>
    </row>
    <row r="24" spans="1:18" s="76" customFormat="1" ht="12.75" x14ac:dyDescent="0.2">
      <c r="A24" s="7" t="str">
        <f>VLOOKUP("&lt;Zeilentitel_10&gt;",Uebersetzungen!$B$3:$E$63,Uebersetzungen!$B$2+1,FALSE)</f>
        <v>Neuenburg</v>
      </c>
      <c r="B24" s="115">
        <v>145622</v>
      </c>
      <c r="C24" s="29">
        <v>32619</v>
      </c>
      <c r="D24" s="30">
        <v>3.7309543517581778</v>
      </c>
      <c r="E24" s="31">
        <v>34839</v>
      </c>
      <c r="F24" s="30">
        <v>3.6137661815781166</v>
      </c>
      <c r="G24" s="29">
        <v>8216</v>
      </c>
      <c r="H24" s="32">
        <v>8.3130477117818895</v>
      </c>
      <c r="I24" s="34">
        <v>166.95907</v>
      </c>
      <c r="J24" s="35">
        <v>60.32906747743624</v>
      </c>
      <c r="K24" s="31">
        <v>5978</v>
      </c>
      <c r="L24" s="30">
        <v>10.137169621947139</v>
      </c>
      <c r="M24" s="29">
        <v>1803</v>
      </c>
      <c r="N24" s="32">
        <v>18.247365501941211</v>
      </c>
      <c r="O24" s="29">
        <v>58329</v>
      </c>
      <c r="P24" s="30">
        <v>2.499614257059096</v>
      </c>
      <c r="Q24" s="29">
        <v>3671.1347219315226</v>
      </c>
      <c r="R24" s="33">
        <v>12.588601573859403</v>
      </c>
    </row>
    <row r="25" spans="1:18" s="76" customFormat="1" ht="12.75" x14ac:dyDescent="0.2">
      <c r="A25" s="7" t="str">
        <f>VLOOKUP("&lt;Zeilentitel_11&gt;",Uebersetzungen!$B$3:$E$63,Uebersetzungen!$B$2+1,FALSE)</f>
        <v>Jura</v>
      </c>
      <c r="B25" s="115">
        <v>59311</v>
      </c>
      <c r="C25" s="29">
        <v>5273</v>
      </c>
      <c r="D25" s="30">
        <v>9.9184524938365257</v>
      </c>
      <c r="E25" s="31">
        <v>41155</v>
      </c>
      <c r="F25" s="30">
        <v>2.0702223302150409</v>
      </c>
      <c r="G25" s="29">
        <v>2291</v>
      </c>
      <c r="H25" s="32">
        <v>15.626364033173287</v>
      </c>
      <c r="I25" s="38" t="s">
        <v>1</v>
      </c>
      <c r="J25" s="30" t="s">
        <v>1</v>
      </c>
      <c r="K25" s="39">
        <v>1484</v>
      </c>
      <c r="L25" s="35">
        <v>19.946091644204852</v>
      </c>
      <c r="M25" s="34">
        <v>370.87367</v>
      </c>
      <c r="N25" s="37">
        <v>39.518111382778926</v>
      </c>
      <c r="O25" s="29">
        <v>7556</v>
      </c>
      <c r="P25" s="30">
        <v>8.2053996823716258</v>
      </c>
      <c r="Q25" s="34">
        <v>1150.0457299574384</v>
      </c>
      <c r="R25" s="40">
        <v>22.343605342015632</v>
      </c>
    </row>
    <row r="26" spans="1:18" s="76" customFormat="1" ht="12.75" x14ac:dyDescent="0.2">
      <c r="A26" s="56" t="str">
        <f>VLOOKUP("&lt;Zeilentitel_12&gt;",Uebersetzungen!$B$3:$E$63,Uebersetzungen!$B$2+1,FALSE)</f>
        <v>Nordwestschweiz</v>
      </c>
      <c r="B26" s="116">
        <v>927375</v>
      </c>
      <c r="C26" s="57">
        <v>248150</v>
      </c>
      <c r="D26" s="58">
        <v>1.5671972597219423</v>
      </c>
      <c r="E26" s="59">
        <v>279498</v>
      </c>
      <c r="F26" s="58">
        <v>1.4386507237976658</v>
      </c>
      <c r="G26" s="57">
        <v>57912</v>
      </c>
      <c r="H26" s="60">
        <v>3.7746926371045721</v>
      </c>
      <c r="I26" s="57">
        <v>1922</v>
      </c>
      <c r="J26" s="58">
        <v>22.840790842872007</v>
      </c>
      <c r="K26" s="59">
        <v>60736</v>
      </c>
      <c r="L26" s="58">
        <v>3.8823761854583769</v>
      </c>
      <c r="M26" s="57">
        <v>13185</v>
      </c>
      <c r="N26" s="60">
        <v>8.4338263177853623</v>
      </c>
      <c r="O26" s="57">
        <v>257624</v>
      </c>
      <c r="P26" s="58">
        <v>1.5833152190789679</v>
      </c>
      <c r="Q26" s="57">
        <v>8346.4440607492161</v>
      </c>
      <c r="R26" s="61">
        <v>10.690691099869985</v>
      </c>
    </row>
    <row r="27" spans="1:18" s="76" customFormat="1" ht="12.75" x14ac:dyDescent="0.2">
      <c r="A27" s="7" t="str">
        <f>VLOOKUP("&lt;Zeilentitel_13&gt;",Uebersetzungen!$B$3:$E$63,Uebersetzungen!$B$2+1,FALSE)</f>
        <v>Basel-Stadt</v>
      </c>
      <c r="B27" s="115">
        <v>159972</v>
      </c>
      <c r="C27" s="29">
        <v>27338</v>
      </c>
      <c r="D27" s="30">
        <v>6.2074767722583948</v>
      </c>
      <c r="E27" s="31">
        <v>30263</v>
      </c>
      <c r="F27" s="30">
        <v>5.871856722730727</v>
      </c>
      <c r="G27" s="29">
        <v>9716</v>
      </c>
      <c r="H27" s="32">
        <v>11.434746809386578</v>
      </c>
      <c r="I27" s="34">
        <v>985.45878000000005</v>
      </c>
      <c r="J27" s="35">
        <v>35.977275477722159</v>
      </c>
      <c r="K27" s="31">
        <v>13523</v>
      </c>
      <c r="L27" s="30">
        <v>9.8794646158396802</v>
      </c>
      <c r="M27" s="29">
        <v>3169</v>
      </c>
      <c r="N27" s="32">
        <v>20.668980751025558</v>
      </c>
      <c r="O27" s="29">
        <v>72719</v>
      </c>
      <c r="P27" s="30">
        <v>3.1601094624513539</v>
      </c>
      <c r="Q27" s="29">
        <v>2258.2057602298114</v>
      </c>
      <c r="R27" s="33">
        <v>23.940078627302924</v>
      </c>
    </row>
    <row r="28" spans="1:18" s="76" customFormat="1" ht="12.75" x14ac:dyDescent="0.2">
      <c r="A28" s="7" t="str">
        <f>VLOOKUP("&lt;Zeilentitel_14&gt;",Uebersetzungen!$B$3:$E$63,Uebersetzungen!$B$2+1,FALSE)</f>
        <v>Basel-Landschaft</v>
      </c>
      <c r="B28" s="115">
        <v>235396</v>
      </c>
      <c r="C28" s="29">
        <v>78164</v>
      </c>
      <c r="D28" s="30">
        <v>3.1881684663016228</v>
      </c>
      <c r="E28" s="31">
        <v>67233</v>
      </c>
      <c r="F28" s="30">
        <v>3.6202460101438279</v>
      </c>
      <c r="G28" s="29">
        <v>12646</v>
      </c>
      <c r="H28" s="32">
        <v>9.718488059465443</v>
      </c>
      <c r="I28" s="34">
        <v>189.11052000000001</v>
      </c>
      <c r="J28" s="35">
        <v>78.857247074356295</v>
      </c>
      <c r="K28" s="31">
        <v>12358</v>
      </c>
      <c r="L28" s="30">
        <v>10.203916491341641</v>
      </c>
      <c r="M28" s="29">
        <v>2981</v>
      </c>
      <c r="N28" s="32">
        <v>20.563569272056355</v>
      </c>
      <c r="O28" s="29">
        <v>59710</v>
      </c>
      <c r="P28" s="30">
        <v>3.9658348685312346</v>
      </c>
      <c r="Q28" s="29">
        <v>2116.0615021597346</v>
      </c>
      <c r="R28" s="33">
        <v>24.376918869943701</v>
      </c>
    </row>
    <row r="29" spans="1:18" s="76" customFormat="1" ht="12.75" x14ac:dyDescent="0.2">
      <c r="A29" s="7" t="str">
        <f>VLOOKUP("&lt;Zeilentitel_15&gt;",Uebersetzungen!$B$3:$E$63,Uebersetzungen!$B$2+1,FALSE)</f>
        <v>Aargau</v>
      </c>
      <c r="B29" s="115">
        <v>532007</v>
      </c>
      <c r="C29" s="29">
        <v>142648</v>
      </c>
      <c r="D29" s="30">
        <v>1.7231226515618865</v>
      </c>
      <c r="E29" s="31">
        <v>182002</v>
      </c>
      <c r="F29" s="30">
        <v>1.5</v>
      </c>
      <c r="G29" s="29">
        <v>35550</v>
      </c>
      <c r="H29" s="32">
        <v>4.0112517580872007</v>
      </c>
      <c r="I29" s="34">
        <v>747.76778000000002</v>
      </c>
      <c r="J29" s="35">
        <v>28.404695372138129</v>
      </c>
      <c r="K29" s="31">
        <v>34856</v>
      </c>
      <c r="L29" s="30">
        <v>4.2374340142299749</v>
      </c>
      <c r="M29" s="29">
        <v>7036</v>
      </c>
      <c r="N29" s="32">
        <v>9.3376918703808993</v>
      </c>
      <c r="O29" s="29">
        <v>125195</v>
      </c>
      <c r="P29" s="30">
        <v>1.9226007428411678</v>
      </c>
      <c r="Q29" s="29">
        <v>3972.1767983596696</v>
      </c>
      <c r="R29" s="33">
        <v>12.280970749816271</v>
      </c>
    </row>
    <row r="30" spans="1:18" s="76" customFormat="1" ht="12.75" x14ac:dyDescent="0.2">
      <c r="A30" s="7" t="str">
        <f>VLOOKUP("&lt;Zeilentitel_16&gt;",Uebersetzungen!$B$3:$E$63,Uebersetzungen!$B$2+1,FALSE)</f>
        <v>Zürich</v>
      </c>
      <c r="B30" s="117">
        <v>1186269</v>
      </c>
      <c r="C30" s="29">
        <v>369118</v>
      </c>
      <c r="D30" s="30">
        <v>1.5</v>
      </c>
      <c r="E30" s="31">
        <v>328967</v>
      </c>
      <c r="F30" s="30">
        <v>1.7</v>
      </c>
      <c r="G30" s="29">
        <v>81139</v>
      </c>
      <c r="H30" s="32">
        <v>3.8</v>
      </c>
      <c r="I30" s="29">
        <v>6035</v>
      </c>
      <c r="J30" s="30">
        <v>14.3</v>
      </c>
      <c r="K30" s="31">
        <v>73330</v>
      </c>
      <c r="L30" s="30">
        <v>4.2</v>
      </c>
      <c r="M30" s="29">
        <v>21532</v>
      </c>
      <c r="N30" s="32">
        <v>7.7</v>
      </c>
      <c r="O30" s="29">
        <v>296724</v>
      </c>
      <c r="P30" s="30">
        <v>1.8</v>
      </c>
      <c r="Q30" s="29">
        <v>9424.2434979006957</v>
      </c>
      <c r="R30" s="33">
        <v>11.473925031277242</v>
      </c>
    </row>
    <row r="31" spans="1:18" s="76" customFormat="1" ht="12.75" x14ac:dyDescent="0.2">
      <c r="A31" s="56" t="str">
        <f>VLOOKUP("&lt;Zeilentitel_17&gt;",Uebersetzungen!$B$3:$E$63,Uebersetzungen!$B$2+1,FALSE)</f>
        <v>Ostschweiz</v>
      </c>
      <c r="B31" s="114">
        <v>949327</v>
      </c>
      <c r="C31" s="57">
        <v>279957</v>
      </c>
      <c r="D31" s="58">
        <v>1.7206213811406752</v>
      </c>
      <c r="E31" s="59">
        <v>385233</v>
      </c>
      <c r="F31" s="58">
        <v>1.363330763460036</v>
      </c>
      <c r="G31" s="57">
        <v>56537</v>
      </c>
      <c r="H31" s="60">
        <v>4.5987583352494825</v>
      </c>
      <c r="I31" s="64">
        <v>469.05034999999998</v>
      </c>
      <c r="J31" s="63">
        <v>53.887984520211965</v>
      </c>
      <c r="K31" s="59">
        <v>54766</v>
      </c>
      <c r="L31" s="58">
        <v>4.8716356863747583</v>
      </c>
      <c r="M31" s="57">
        <v>10552</v>
      </c>
      <c r="N31" s="60">
        <v>11.106899166034875</v>
      </c>
      <c r="O31" s="57">
        <v>155135</v>
      </c>
      <c r="P31" s="58">
        <v>2.602249653527573</v>
      </c>
      <c r="Q31" s="57">
        <v>6678.0677152093067</v>
      </c>
      <c r="R31" s="61">
        <v>13.639312871064309</v>
      </c>
    </row>
    <row r="32" spans="1:18" s="76" customFormat="1" ht="12.75" x14ac:dyDescent="0.2">
      <c r="A32" s="7" t="str">
        <f>VLOOKUP("&lt;Zeilentitel_18&gt;",Uebersetzungen!$B$3:$E$63,Uebersetzungen!$B$2+1,FALSE)</f>
        <v>Glarus</v>
      </c>
      <c r="B32" s="115">
        <v>32970</v>
      </c>
      <c r="C32" s="29">
        <v>11449</v>
      </c>
      <c r="D32" s="30">
        <v>8.3151366931609747</v>
      </c>
      <c r="E32" s="31">
        <v>11392</v>
      </c>
      <c r="F32" s="30">
        <v>8.59375</v>
      </c>
      <c r="G32" s="36">
        <v>1907</v>
      </c>
      <c r="H32" s="37">
        <v>25.485055060304141</v>
      </c>
      <c r="I32" s="38" t="s">
        <v>1</v>
      </c>
      <c r="J32" s="30" t="s">
        <v>1</v>
      </c>
      <c r="K32" s="31">
        <v>2198</v>
      </c>
      <c r="L32" s="30">
        <v>24.977252047315744</v>
      </c>
      <c r="M32" s="34">
        <v>481.54971999999998</v>
      </c>
      <c r="N32" s="37">
        <v>54.029621281889654</v>
      </c>
      <c r="O32" s="29">
        <v>5230</v>
      </c>
      <c r="P32" s="30">
        <v>14.435946462715105</v>
      </c>
      <c r="Q32" s="38">
        <v>273.7394246202191</v>
      </c>
      <c r="R32" s="33">
        <v>68.255809322168147</v>
      </c>
    </row>
    <row r="33" spans="1:18" s="76" customFormat="1" ht="12.75" x14ac:dyDescent="0.2">
      <c r="A33" s="7" t="str">
        <f>VLOOKUP("&lt;Zeilentitel_19&gt;",Uebersetzungen!$B$3:$E$63,Uebersetzungen!$B$2+1,FALSE)</f>
        <v>Schaffhausen</v>
      </c>
      <c r="B33" s="115">
        <v>66462</v>
      </c>
      <c r="C33" s="29">
        <v>24643</v>
      </c>
      <c r="D33" s="30">
        <v>5.5188085866168892</v>
      </c>
      <c r="E33" s="31">
        <v>15367</v>
      </c>
      <c r="F33" s="30">
        <v>7.9130604542200818</v>
      </c>
      <c r="G33" s="29">
        <v>5232</v>
      </c>
      <c r="H33" s="32">
        <v>14.908256880733944</v>
      </c>
      <c r="I33" s="38" t="s">
        <v>1</v>
      </c>
      <c r="J33" s="30" t="s">
        <v>1</v>
      </c>
      <c r="K33" s="31">
        <v>4527</v>
      </c>
      <c r="L33" s="30">
        <v>17.318312348133421</v>
      </c>
      <c r="M33" s="36">
        <v>1069</v>
      </c>
      <c r="N33" s="37">
        <v>35.173058933582787</v>
      </c>
      <c r="O33" s="29">
        <v>14940</v>
      </c>
      <c r="P33" s="30">
        <v>8.0388219544846056</v>
      </c>
      <c r="Q33" s="34">
        <v>683.70403961292755</v>
      </c>
      <c r="R33" s="40">
        <v>42.073029187876941</v>
      </c>
    </row>
    <row r="34" spans="1:18" s="76" customFormat="1" ht="12.75" x14ac:dyDescent="0.2">
      <c r="A34" s="7" t="str">
        <f>VLOOKUP("&lt;Zeilentitel_20&gt;",Uebersetzungen!$B$3:$E$63,Uebersetzungen!$B$2+1,FALSE)</f>
        <v>Appenzell Ausserrhoden</v>
      </c>
      <c r="B34" s="115">
        <v>44898</v>
      </c>
      <c r="C34" s="29">
        <v>17078</v>
      </c>
      <c r="D34" s="30">
        <v>6.7630870125307414</v>
      </c>
      <c r="E34" s="31">
        <v>14068</v>
      </c>
      <c r="F34" s="30">
        <v>7.8262723912425365</v>
      </c>
      <c r="G34" s="29">
        <v>3412</v>
      </c>
      <c r="H34" s="32">
        <v>18.610785463071515</v>
      </c>
      <c r="I34" s="38" t="s">
        <v>1</v>
      </c>
      <c r="J34" s="30" t="s">
        <v>1</v>
      </c>
      <c r="K34" s="39">
        <v>1382</v>
      </c>
      <c r="L34" s="35">
        <v>31.47612156295224</v>
      </c>
      <c r="M34" s="34">
        <v>304.33553999999998</v>
      </c>
      <c r="N34" s="37">
        <v>64.885185607964175</v>
      </c>
      <c r="O34" s="29">
        <v>8209</v>
      </c>
      <c r="P34" s="30">
        <v>11.268120355707151</v>
      </c>
      <c r="Q34" s="34">
        <v>401.19964094906567</v>
      </c>
      <c r="R34" s="40">
        <v>55.981839214567771</v>
      </c>
    </row>
    <row r="35" spans="1:18" s="76" customFormat="1" ht="12.75" x14ac:dyDescent="0.2">
      <c r="A35" s="7" t="str">
        <f>VLOOKUP("&lt;Zeilentitel_21&gt;",Uebersetzungen!$B$3:$E$63,Uebersetzungen!$B$2+1,FALSE)</f>
        <v>Appenzell Innerrhoden</v>
      </c>
      <c r="B35" s="115">
        <v>12962</v>
      </c>
      <c r="C35" s="29">
        <v>1487</v>
      </c>
      <c r="D35" s="30">
        <v>27.370544720914591</v>
      </c>
      <c r="E35" s="31">
        <v>9904</v>
      </c>
      <c r="F35" s="30">
        <v>5.6643780290791597</v>
      </c>
      <c r="G35" s="34">
        <v>274.59455000000003</v>
      </c>
      <c r="H35" s="37">
        <v>68.091955940130617</v>
      </c>
      <c r="I35" s="38" t="s">
        <v>1</v>
      </c>
      <c r="J35" s="30" t="s">
        <v>1</v>
      </c>
      <c r="K35" s="41">
        <v>306.59699999999998</v>
      </c>
      <c r="L35" s="35">
        <v>68.635828139218575</v>
      </c>
      <c r="M35" s="34" t="s">
        <v>1</v>
      </c>
      <c r="N35" s="37" t="s">
        <v>1</v>
      </c>
      <c r="O35" s="36">
        <v>828.56652999999994</v>
      </c>
      <c r="P35" s="35">
        <v>39.518066219739787</v>
      </c>
      <c r="Q35" s="38" t="s">
        <v>1</v>
      </c>
      <c r="R35" s="33" t="s">
        <v>1</v>
      </c>
    </row>
    <row r="36" spans="1:18" s="76" customFormat="1" ht="12.75" x14ac:dyDescent="0.2">
      <c r="A36" s="7" t="str">
        <f>VLOOKUP("&lt;Zeilentitel_22&gt;",Uebersetzungen!$B$3:$E$63,Uebersetzungen!$B$2+1,FALSE)</f>
        <v>St. Gallen</v>
      </c>
      <c r="B36" s="115">
        <v>408564</v>
      </c>
      <c r="C36" s="29">
        <v>92301</v>
      </c>
      <c r="D36" s="30">
        <v>3.1754802223161183</v>
      </c>
      <c r="E36" s="31">
        <v>190854</v>
      </c>
      <c r="F36" s="30">
        <v>1.854297001896738</v>
      </c>
      <c r="G36" s="29">
        <v>24725</v>
      </c>
      <c r="H36" s="32">
        <v>6.9807886754297259</v>
      </c>
      <c r="I36" s="34">
        <v>237.11346</v>
      </c>
      <c r="J36" s="35">
        <v>73.065527363988508</v>
      </c>
      <c r="K36" s="31">
        <v>29447</v>
      </c>
      <c r="L36" s="30">
        <v>6.6118789689951445</v>
      </c>
      <c r="M36" s="29">
        <v>5349</v>
      </c>
      <c r="N36" s="32">
        <v>15.535614133482895</v>
      </c>
      <c r="O36" s="29">
        <v>62978</v>
      </c>
      <c r="P36" s="30">
        <v>4.1284257994855347</v>
      </c>
      <c r="Q36" s="29">
        <v>2672.9441669904377</v>
      </c>
      <c r="R36" s="33">
        <v>21.632997232452315</v>
      </c>
    </row>
    <row r="37" spans="1:18" s="76" customFormat="1" ht="12.75" x14ac:dyDescent="0.2">
      <c r="A37" s="65" t="str">
        <f>VLOOKUP("&lt;Zeilentitel_23&gt;",Uebersetzungen!$B$3:$E$63,Uebersetzungen!$B$2+1,FALSE)</f>
        <v>Graubünden</v>
      </c>
      <c r="B37" s="118">
        <v>165927</v>
      </c>
      <c r="C37" s="66">
        <v>57066</v>
      </c>
      <c r="D37" s="67">
        <v>3.718501384361967</v>
      </c>
      <c r="E37" s="68">
        <v>72037</v>
      </c>
      <c r="F37" s="67">
        <v>3.1761455918486337</v>
      </c>
      <c r="G37" s="66">
        <v>6916</v>
      </c>
      <c r="H37" s="69">
        <v>13.519375361480623</v>
      </c>
      <c r="I37" s="70" t="s">
        <v>1</v>
      </c>
      <c r="J37" s="67" t="s">
        <v>1</v>
      </c>
      <c r="K37" s="68">
        <v>3030</v>
      </c>
      <c r="L37" s="67">
        <v>21.716171617161717</v>
      </c>
      <c r="M37" s="71">
        <v>1297</v>
      </c>
      <c r="N37" s="72">
        <v>32.459521973785662</v>
      </c>
      <c r="O37" s="66">
        <v>24380</v>
      </c>
      <c r="P37" s="67">
        <v>6.7227235438884332</v>
      </c>
      <c r="Q37" s="73">
        <v>1116.7887115877852</v>
      </c>
      <c r="R37" s="74">
        <v>33.682674485657088</v>
      </c>
    </row>
    <row r="38" spans="1:18" s="76" customFormat="1" ht="12.75" x14ac:dyDescent="0.2">
      <c r="A38" s="7" t="str">
        <f>VLOOKUP("&lt;Zeilentitel_24&gt;",Uebersetzungen!$B$3:$E$63,Uebersetzungen!$B$2+1,FALSE)</f>
        <v>Thurgau</v>
      </c>
      <c r="B38" s="115">
        <v>217544</v>
      </c>
      <c r="C38" s="29">
        <v>75934</v>
      </c>
      <c r="D38" s="30">
        <v>3.2001474965101271</v>
      </c>
      <c r="E38" s="31">
        <v>71612</v>
      </c>
      <c r="F38" s="30">
        <v>3.3960788694632185</v>
      </c>
      <c r="G38" s="29">
        <v>14071</v>
      </c>
      <c r="H38" s="32">
        <v>9.061189680903988</v>
      </c>
      <c r="I38" s="34" t="s">
        <v>1</v>
      </c>
      <c r="J38" s="35" t="s">
        <v>1</v>
      </c>
      <c r="K38" s="31">
        <v>13874</v>
      </c>
      <c r="L38" s="30">
        <v>9.5358224016145314</v>
      </c>
      <c r="M38" s="29">
        <v>1965</v>
      </c>
      <c r="N38" s="32">
        <v>25.139949109414761</v>
      </c>
      <c r="O38" s="29">
        <v>38569</v>
      </c>
      <c r="P38" s="30">
        <v>5.1181000285203142</v>
      </c>
      <c r="Q38" s="29">
        <v>1454.3516536688974</v>
      </c>
      <c r="R38" s="33">
        <v>28.775025148414329</v>
      </c>
    </row>
    <row r="39" spans="1:18" s="76" customFormat="1" ht="12.75" x14ac:dyDescent="0.2">
      <c r="A39" s="56" t="str">
        <f>VLOOKUP("&lt;Zeilentitel_25&gt;",Uebersetzungen!$B$3:$E$63,Uebersetzungen!$B$2+1,FALSE)</f>
        <v>Zentralschweiz</v>
      </c>
      <c r="B39" s="116">
        <v>643678</v>
      </c>
      <c r="C39" s="57">
        <v>72356</v>
      </c>
      <c r="D39" s="58">
        <v>3.0861296920780585</v>
      </c>
      <c r="E39" s="59">
        <v>406576</v>
      </c>
      <c r="F39" s="58">
        <v>0.83625201684309947</v>
      </c>
      <c r="G39" s="57">
        <v>27340</v>
      </c>
      <c r="H39" s="60">
        <v>5.420629114850037</v>
      </c>
      <c r="I39" s="64">
        <v>684.76732000000004</v>
      </c>
      <c r="J39" s="63">
        <v>35.374043551026929</v>
      </c>
      <c r="K39" s="59">
        <v>26334</v>
      </c>
      <c r="L39" s="58">
        <v>5.6428951165793269</v>
      </c>
      <c r="M39" s="57">
        <v>7208</v>
      </c>
      <c r="N39" s="60">
        <v>10.460599334073253</v>
      </c>
      <c r="O39" s="57">
        <v>98272</v>
      </c>
      <c r="P39" s="58">
        <v>2.6233311624877893</v>
      </c>
      <c r="Q39" s="57">
        <v>4905.6870569249049</v>
      </c>
      <c r="R39" s="61">
        <v>13.31580436122681</v>
      </c>
    </row>
    <row r="40" spans="1:18" s="76" customFormat="1" ht="12.75" x14ac:dyDescent="0.2">
      <c r="A40" s="7" t="str">
        <f>VLOOKUP("&lt;Zeilentitel_26&gt;",Uebersetzungen!$B$3:$E$63,Uebersetzungen!$B$2+1,FALSE)</f>
        <v>Luzern</v>
      </c>
      <c r="B40" s="115">
        <v>323921</v>
      </c>
      <c r="C40" s="29">
        <v>35161</v>
      </c>
      <c r="D40" s="30">
        <v>3.8679218452262449</v>
      </c>
      <c r="E40" s="31">
        <v>204879</v>
      </c>
      <c r="F40" s="30">
        <v>1.0347571005325094</v>
      </c>
      <c r="G40" s="29">
        <v>13256</v>
      </c>
      <c r="H40" s="32">
        <v>6.7742908871454439</v>
      </c>
      <c r="I40" s="34">
        <v>235.46119999999999</v>
      </c>
      <c r="J40" s="35">
        <v>50.821914608436558</v>
      </c>
      <c r="K40" s="31">
        <v>14240</v>
      </c>
      <c r="L40" s="30">
        <v>6.713483146067416</v>
      </c>
      <c r="M40" s="29">
        <v>3868</v>
      </c>
      <c r="N40" s="32">
        <v>12.668045501551189</v>
      </c>
      <c r="O40" s="29">
        <v>50151</v>
      </c>
      <c r="P40" s="30">
        <v>3.2122988574504996</v>
      </c>
      <c r="Q40" s="29">
        <v>2130.2901977841298</v>
      </c>
      <c r="R40" s="33">
        <v>16.737501769264018</v>
      </c>
    </row>
    <row r="41" spans="1:18" s="76" customFormat="1" ht="12.75" x14ac:dyDescent="0.2">
      <c r="A41" s="7" t="str">
        <f>VLOOKUP("&lt;Zeilentitel_27&gt;",Uebersetzungen!$B$3:$E$63,Uebersetzungen!$B$2+1,FALSE)</f>
        <v>Uri</v>
      </c>
      <c r="B41" s="115">
        <v>29703</v>
      </c>
      <c r="C41" s="34">
        <v>1662</v>
      </c>
      <c r="D41" s="35">
        <v>26.233453670276774</v>
      </c>
      <c r="E41" s="31">
        <v>23703</v>
      </c>
      <c r="F41" s="30">
        <v>3.1852508121334853</v>
      </c>
      <c r="G41" s="34">
        <v>757.30268000000001</v>
      </c>
      <c r="H41" s="37">
        <v>43.271644040662842</v>
      </c>
      <c r="I41" s="29" t="s">
        <v>1</v>
      </c>
      <c r="J41" s="30" t="s">
        <v>1</v>
      </c>
      <c r="K41" s="41">
        <v>793.23293999999999</v>
      </c>
      <c r="L41" s="35">
        <v>42.076802811542343</v>
      </c>
      <c r="M41" s="34" t="s">
        <v>1</v>
      </c>
      <c r="N41" s="37" t="s">
        <v>1</v>
      </c>
      <c r="O41" s="29">
        <v>2556</v>
      </c>
      <c r="P41" s="30">
        <v>21.71361502347418</v>
      </c>
      <c r="Q41" s="38" t="s">
        <v>1</v>
      </c>
      <c r="R41" s="33" t="s">
        <v>1</v>
      </c>
    </row>
    <row r="42" spans="1:18" s="76" customFormat="1" ht="12.75" x14ac:dyDescent="0.2">
      <c r="A42" s="7" t="str">
        <f>VLOOKUP("&lt;Zeilentitel_28&gt;",Uebersetzungen!$B$3:$E$63,Uebersetzungen!$B$2+1,FALSE)</f>
        <v>Schwyz</v>
      </c>
      <c r="B42" s="115">
        <v>126234</v>
      </c>
      <c r="C42" s="29">
        <v>14991</v>
      </c>
      <c r="D42" s="30">
        <v>8.3183243279300925</v>
      </c>
      <c r="E42" s="31">
        <v>79234</v>
      </c>
      <c r="F42" s="30">
        <v>2.3727187823409142</v>
      </c>
      <c r="G42" s="29">
        <v>6154</v>
      </c>
      <c r="H42" s="32">
        <v>14.039649008774779</v>
      </c>
      <c r="I42" s="34">
        <v>159.06572</v>
      </c>
      <c r="J42" s="35">
        <v>86.236204758636859</v>
      </c>
      <c r="K42" s="31">
        <v>5181</v>
      </c>
      <c r="L42" s="30">
        <v>15.788457826674387</v>
      </c>
      <c r="M42" s="36">
        <v>1485</v>
      </c>
      <c r="N42" s="37">
        <v>29.562289562289561</v>
      </c>
      <c r="O42" s="29">
        <v>17867</v>
      </c>
      <c r="P42" s="30">
        <v>7.7013488554318013</v>
      </c>
      <c r="Q42" s="34">
        <v>1162.6811781112442</v>
      </c>
      <c r="R42" s="40">
        <v>32.089921852960515</v>
      </c>
    </row>
    <row r="43" spans="1:18" s="76" customFormat="1" ht="12.75" x14ac:dyDescent="0.2">
      <c r="A43" s="7" t="str">
        <f>VLOOKUP("&lt;Zeilentitel_29&gt;",Uebersetzungen!$B$3:$E$63,Uebersetzungen!$B$2+1,FALSE)</f>
        <v>Obwalden</v>
      </c>
      <c r="B43" s="115">
        <v>30287</v>
      </c>
      <c r="C43" s="29">
        <v>2348</v>
      </c>
      <c r="D43" s="30">
        <v>21.933560477001706</v>
      </c>
      <c r="E43" s="31">
        <v>22475</v>
      </c>
      <c r="F43" s="30">
        <v>3.7508342602892104</v>
      </c>
      <c r="G43" s="34">
        <v>726.49752999999998</v>
      </c>
      <c r="H43" s="37">
        <v>43.290232521506304</v>
      </c>
      <c r="I43" s="38" t="s">
        <v>1</v>
      </c>
      <c r="J43" s="30" t="s">
        <v>1</v>
      </c>
      <c r="K43" s="39">
        <v>1054</v>
      </c>
      <c r="L43" s="35">
        <v>36.432637571157493</v>
      </c>
      <c r="M43" s="34" t="s">
        <v>1</v>
      </c>
      <c r="N43" s="37" t="s">
        <v>1</v>
      </c>
      <c r="O43" s="29">
        <v>3250</v>
      </c>
      <c r="P43" s="30">
        <v>19.169230769230769</v>
      </c>
      <c r="Q43" s="34">
        <v>343.22264093185959</v>
      </c>
      <c r="R43" s="40">
        <v>61.128323266350336</v>
      </c>
    </row>
    <row r="44" spans="1:18" s="76" customFormat="1" ht="12.75" x14ac:dyDescent="0.2">
      <c r="A44" s="7" t="str">
        <f>VLOOKUP("&lt;Zeilentitel_30&gt;",Uebersetzungen!$B$3:$E$63,Uebersetzungen!$B$2+1,FALSE)</f>
        <v>Nidwalden</v>
      </c>
      <c r="B44" s="115">
        <v>35476</v>
      </c>
      <c r="C44" s="29">
        <v>4167</v>
      </c>
      <c r="D44" s="30">
        <v>15.838732901367891</v>
      </c>
      <c r="E44" s="31">
        <v>24373</v>
      </c>
      <c r="F44" s="30">
        <v>3.9634021253025891</v>
      </c>
      <c r="G44" s="34">
        <v>875.60496000000001</v>
      </c>
      <c r="H44" s="37">
        <v>37.048104432848348</v>
      </c>
      <c r="I44" s="38" t="s">
        <v>1</v>
      </c>
      <c r="J44" s="30" t="s">
        <v>1</v>
      </c>
      <c r="K44" s="41">
        <v>731.00229999999999</v>
      </c>
      <c r="L44" s="35">
        <v>41.312824870728868</v>
      </c>
      <c r="M44" s="38" t="s">
        <v>1</v>
      </c>
      <c r="N44" s="32" t="s">
        <v>1</v>
      </c>
      <c r="O44" s="29">
        <v>4758</v>
      </c>
      <c r="P44" s="30">
        <v>14.859184531315679</v>
      </c>
      <c r="Q44" s="34">
        <v>401.64397533885409</v>
      </c>
      <c r="R44" s="40">
        <v>55.844909651215268</v>
      </c>
    </row>
    <row r="45" spans="1:18" s="76" customFormat="1" ht="12.75" x14ac:dyDescent="0.2">
      <c r="A45" s="7" t="str">
        <f>VLOOKUP("&lt;Zeilentitel_31&gt;",Uebersetzungen!$B$3:$E$63,Uebersetzungen!$B$2+1,FALSE)</f>
        <v>Zug</v>
      </c>
      <c r="B45" s="115">
        <v>98057</v>
      </c>
      <c r="C45" s="29">
        <v>14027</v>
      </c>
      <c r="D45" s="30">
        <v>5.9242888714621795</v>
      </c>
      <c r="E45" s="31">
        <v>51912</v>
      </c>
      <c r="F45" s="30">
        <v>2.280782863307135</v>
      </c>
      <c r="G45" s="29">
        <v>5571</v>
      </c>
      <c r="H45" s="32">
        <v>10.303356668461676</v>
      </c>
      <c r="I45" s="34">
        <v>214.52235999999999</v>
      </c>
      <c r="J45" s="35">
        <v>56.786364833950188</v>
      </c>
      <c r="K45" s="31">
        <v>4336</v>
      </c>
      <c r="L45" s="30">
        <v>12.084870848708487</v>
      </c>
      <c r="M45" s="29">
        <v>1597</v>
      </c>
      <c r="N45" s="32">
        <v>20.288040075140891</v>
      </c>
      <c r="O45" s="29">
        <v>19690</v>
      </c>
      <c r="P45" s="30">
        <v>4.9873031995937023</v>
      </c>
      <c r="Q45" s="34">
        <v>709.11413209119223</v>
      </c>
      <c r="R45" s="40">
        <v>28.971366254804337</v>
      </c>
    </row>
    <row r="46" spans="1:18" s="76" customFormat="1" ht="13.5" thickBot="1" x14ac:dyDescent="0.25">
      <c r="A46" s="129" t="str">
        <f>VLOOKUP("&lt;Zeilentitel_32&gt;",Uebersetzungen!$B$3:$E$63,Uebersetzungen!$B$2+1,FALSE)</f>
        <v>Tessin</v>
      </c>
      <c r="B46" s="130">
        <v>293233</v>
      </c>
      <c r="C46" s="131">
        <v>13624</v>
      </c>
      <c r="D46" s="132">
        <v>6.4078097475044045</v>
      </c>
      <c r="E46" s="133">
        <v>201384</v>
      </c>
      <c r="F46" s="132">
        <v>0.96134747546974941</v>
      </c>
      <c r="G46" s="131">
        <v>14234</v>
      </c>
      <c r="H46" s="134">
        <v>6.4563720668821132</v>
      </c>
      <c r="I46" s="135">
        <v>313.69630999999998</v>
      </c>
      <c r="J46" s="136">
        <v>43.638989569242952</v>
      </c>
      <c r="K46" s="133">
        <v>5934</v>
      </c>
      <c r="L46" s="132">
        <v>10.330299966295922</v>
      </c>
      <c r="M46" s="131">
        <v>1682</v>
      </c>
      <c r="N46" s="134">
        <v>18.96551724137931</v>
      </c>
      <c r="O46" s="131">
        <v>50296</v>
      </c>
      <c r="P46" s="132">
        <v>3.1573087323047559</v>
      </c>
      <c r="Q46" s="131">
        <v>5767.181620035386</v>
      </c>
      <c r="R46" s="137">
        <v>10.099398484353628</v>
      </c>
    </row>
    <row r="47" spans="1:18" s="76" customFormat="1" ht="12.75" x14ac:dyDescent="0.2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s="76" customFormat="1" ht="12.75" x14ac:dyDescent="0.2">
      <c r="A48" s="16" t="str">
        <f>VLOOKUP("&lt;Legende_1&gt;",Uebersetzungen!$B$3:$E$63,Uebersetzungen!$B$2+1,FALSE)</f>
        <v xml:space="preserve">Ab 2010 stammen die Daten aus einer Stichprobenerhebung der ständigen Wohnbevölkerung ab vollendetem 15. Altersjahr, die in Privathaushalten lebt. </v>
      </c>
      <c r="B48" s="5"/>
      <c r="C48" s="9"/>
      <c r="D48" s="10"/>
      <c r="E48" s="10"/>
      <c r="F48" s="10"/>
      <c r="G48" s="11"/>
      <c r="H48" s="12"/>
      <c r="I48" s="11"/>
      <c r="J48" s="12"/>
      <c r="K48" s="11"/>
      <c r="L48" s="12"/>
      <c r="M48" s="11"/>
      <c r="N48" s="12"/>
      <c r="O48" s="11"/>
      <c r="P48" s="12"/>
      <c r="Q48" s="11"/>
      <c r="R48" s="12"/>
    </row>
    <row r="49" spans="1:18" s="76" customFormat="1" ht="12.75" x14ac:dyDescent="0.2">
      <c r="A49" s="16" t="str">
        <f>VLOOKUP("&lt;Legende_2&gt;",Uebersetzungen!$B$3:$E$63,Uebersetzungen!$B$2+1,FALSE)</f>
        <v>Nicht befragt wurden Diplomaten, internationale Funktionäre und deren Familienangehörige. Diese Daten sind mit jenen der frühreren Jahre nicht direkt vergleichbar.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s="76" customFormat="1" ht="12.75" x14ac:dyDescent="0.2">
      <c r="A50" s="16" t="str">
        <f>VLOOKUP("&lt;Legende_3&gt;",Uebersetzungen!$B$3:$E$63,Uebersetzungen!$B$2+1,FALSE)</f>
        <v>Das Vertrauensintervall zeigt die Genauigkeit der Resultate einer Stichprobenerhebung.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1:18" s="76" customFormat="1" ht="12.75" x14ac:dyDescent="0.2">
      <c r="A51" s="16" t="str">
        <f>VLOOKUP("&lt;Legende_4&gt;",Uebersetzungen!$B$3:$E$63,Uebersetzungen!$B$2+1,FALSE)</f>
        <v>(): Extrapolation aufgrund von 49 oder weniger Beobachtungen. Die Resultate sind mit grosser Vorsicht zu interpretieren.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s="76" customFormat="1" ht="12.75" x14ac:dyDescent="0.2">
      <c r="A52" s="13" t="str">
        <f>VLOOKUP("&lt;Legende_5&gt;",Uebersetzungen!$B$3:$E$63,Uebersetzungen!$B$2+1,FALSE)</f>
        <v>X: Extrapolation aufgrund von 4 oder weniger Beobachtungen. Die Resultate werden aus Gründen des Datenschutzes nicht publiziert.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s="76" customFormat="1" ht="12.75" x14ac:dyDescent="0.2">
      <c r="A53" s="13" t="str">
        <f>VLOOKUP("&lt;Legende_6&gt;",Uebersetzungen!$B$3:$E$63,Uebersetzungen!$B$2+1,FALSE)</f>
        <v>* inkl. andere aus dem Islam hervorgegangene Gemeinschaften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 s="76" customFormat="1" ht="12.75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18" s="76" customFormat="1" ht="12.75" x14ac:dyDescent="0.2">
      <c r="A55" s="16" t="str">
        <f>VLOOKUP("&lt;quelle_1&gt;",Uebersetzungen!$B$3:$E$63,Uebersetzungen!$B$2+1,FALSE)</f>
        <v>Quelle: BFS (Strukturerhebung)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8" s="76" customFormat="1" ht="12.75" x14ac:dyDescent="0.2">
      <c r="A56" s="13" t="str">
        <f>VLOOKUP("&lt;aktualisierung&gt;",Uebersetzungen!$B$3:$E$213,Uebersetzungen!$B$2+1,FALSE)</f>
        <v>Letztmals aktualisiert am: 29.01.2026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</sheetData>
  <sheetProtection sheet="1" objects="1" scenarios="1"/>
  <mergeCells count="11">
    <mergeCell ref="Q13:R13"/>
    <mergeCell ref="A7:D7"/>
    <mergeCell ref="B12:R12"/>
    <mergeCell ref="B13:B14"/>
    <mergeCell ref="C13:D13"/>
    <mergeCell ref="E13:F13"/>
    <mergeCell ref="G13:H13"/>
    <mergeCell ref="I13:J13"/>
    <mergeCell ref="K13:L13"/>
    <mergeCell ref="M13:N13"/>
    <mergeCell ref="O13:P13"/>
  </mergeCells>
  <pageMargins left="0.7" right="0.7" top="0.75" bottom="0.75" header="0.3" footer="0.3"/>
  <pageSetup paperSize="9" orientation="portrait" r:id="rId1"/>
  <ignoredErrors>
    <ignoredError sqref="D14 F14 H14 J14 L14 N14 P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Option Button 1">
              <controlPr defaultSize="0" autoFill="0" autoLine="0" autoPict="0">
                <anchor moveWithCells="1">
                  <from>
                    <xdr:col>6</xdr:col>
                    <xdr:colOff>295275</xdr:colOff>
                    <xdr:row>1</xdr:row>
                    <xdr:rowOff>114300</xdr:rowOff>
                  </from>
                  <to>
                    <xdr:col>7</xdr:col>
                    <xdr:colOff>695325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5" name="Option Button 2">
              <controlPr defaultSize="0" autoFill="0" autoLine="0" autoPict="0">
                <anchor moveWithCells="1">
                  <from>
                    <xdr:col>6</xdr:col>
                    <xdr:colOff>295275</xdr:colOff>
                    <xdr:row>2</xdr:row>
                    <xdr:rowOff>104775</xdr:rowOff>
                  </from>
                  <to>
                    <xdr:col>8</xdr:col>
                    <xdr:colOff>276225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6" name="Option Button 3">
              <controlPr defaultSize="0" autoFill="0" autoLine="0" autoPict="0">
                <anchor moveWithCells="1">
                  <from>
                    <xdr:col>6</xdr:col>
                    <xdr:colOff>295275</xdr:colOff>
                    <xdr:row>3</xdr:row>
                    <xdr:rowOff>66675</xdr:rowOff>
                  </from>
                  <to>
                    <xdr:col>7</xdr:col>
                    <xdr:colOff>695325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56"/>
  <sheetViews>
    <sheetView showGridLines="0" workbookViewId="0"/>
  </sheetViews>
  <sheetFormatPr baseColWidth="10" defaultColWidth="9.140625" defaultRowHeight="14.25" x14ac:dyDescent="0.2"/>
  <cols>
    <col min="1" max="1" width="22.7109375" style="53" customWidth="1"/>
    <col min="2" max="2" width="9.140625" style="53" customWidth="1"/>
    <col min="3" max="18" width="12.42578125" style="53" customWidth="1"/>
    <col min="19" max="16384" width="9.140625" style="77"/>
  </cols>
  <sheetData>
    <row r="1" spans="1:18" s="75" customFormat="1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75" customFormat="1" ht="15.75" x14ac:dyDescent="0.25">
      <c r="A2" s="1"/>
      <c r="B2" s="15"/>
      <c r="C2" s="53"/>
      <c r="D2" s="5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75" customFormat="1" ht="15.75" x14ac:dyDescent="0.25">
      <c r="A3" s="1"/>
      <c r="B3" s="15"/>
      <c r="C3" s="53"/>
      <c r="D3" s="5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s="75" customFormat="1" ht="15.75" x14ac:dyDescent="0.25">
      <c r="A4" s="1"/>
      <c r="B4" s="15"/>
      <c r="C4" s="53"/>
      <c r="D4" s="5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75" customFormat="1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s="75" customFormat="1" ht="12.7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s="75" customFormat="1" ht="15.75" customHeight="1" x14ac:dyDescent="0.2">
      <c r="A7" s="146" t="str">
        <f>VLOOKUP("&lt;Fachbereich&gt;",Uebersetzungen!$B$3:$E$63,Uebersetzungen!$B$2+1,FALSE)</f>
        <v>Daten &amp; Statistik</v>
      </c>
      <c r="B7" s="146"/>
      <c r="C7" s="146"/>
      <c r="D7" s="146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</row>
    <row r="8" spans="1:18" s="75" customFormat="1" ht="12.7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s="76" customFormat="1" ht="18" x14ac:dyDescent="0.2">
      <c r="A9" s="19" t="str">
        <f>VLOOKUP("&lt;Titel&gt;",Uebersetzungen!$B$3:$E$63,Uebersetzungen!$B$2+1,FALSE)</f>
        <v>Religionszugehörigkeit nach Kanton</v>
      </c>
      <c r="B9" s="54"/>
      <c r="C9" s="55"/>
      <c r="D9" s="55"/>
      <c r="E9" s="55"/>
      <c r="F9" s="55"/>
      <c r="G9" s="55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s="76" customFormat="1" ht="12.75" x14ac:dyDescent="0.2">
      <c r="A10" s="20" t="str">
        <f>VLOOKUP("&lt;UTitel&gt;",Uebersetzungen!$B$3:$E$63,Uebersetzungen!$B$2+1,FALSE)</f>
        <v>Ständige Wohnbevölkerung ab 15 Jahren</v>
      </c>
      <c r="B10" s="54"/>
      <c r="C10" s="55"/>
      <c r="D10" s="55"/>
      <c r="E10" s="55"/>
      <c r="F10" s="55"/>
      <c r="G10" s="5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8.75" thickBot="1" x14ac:dyDescent="0.3">
      <c r="B11" s="17"/>
      <c r="C11" s="18"/>
      <c r="D11" s="4"/>
      <c r="E11" s="4"/>
      <c r="F11" s="4"/>
      <c r="G11" s="4"/>
      <c r="H11" s="4"/>
      <c r="I11" s="4"/>
      <c r="J11" s="4"/>
    </row>
    <row r="12" spans="1:18" s="78" customFormat="1" ht="18" x14ac:dyDescent="0.25">
      <c r="A12" s="3"/>
      <c r="B12" s="158">
        <v>2012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60"/>
    </row>
    <row r="13" spans="1:18" s="78" customFormat="1" ht="37.5" customHeight="1" x14ac:dyDescent="0.25">
      <c r="A13" s="3"/>
      <c r="B13" s="157" t="str">
        <f>VLOOKUP("&lt;SpaltenTitel_1&gt;",Uebersetzungen!$B$3:$E$63,Uebersetzungen!$B$2+1,FALSE)</f>
        <v>Total</v>
      </c>
      <c r="C13" s="152" t="str">
        <f>VLOOKUP("&lt;SpaltenTitel_2&gt;",Uebersetzungen!$B$3:$E$63,Uebersetzungen!$B$2+1,FALSE)</f>
        <v>Evangelisch-reformiert</v>
      </c>
      <c r="D13" s="152"/>
      <c r="E13" s="152" t="str">
        <f>VLOOKUP("&lt;SpaltenTitel_3&gt;",Uebersetzungen!$B$3:$E$63,Uebersetzungen!$B$2+1,FALSE)</f>
        <v>Römisch-katholisch</v>
      </c>
      <c r="F13" s="152"/>
      <c r="G13" s="152" t="str">
        <f>VLOOKUP("&lt;SpaltenTitel_4&gt;",Uebersetzungen!$B$3:$E$63,Uebersetzungen!$B$2+1,FALSE)</f>
        <v>Andere christliche Glaubensgemeinschaften</v>
      </c>
      <c r="H13" s="152"/>
      <c r="I13" s="152" t="str">
        <f>VLOOKUP("&lt;SpaltenTitel_5&gt;",Uebersetzungen!$B$3:$E$63,Uebersetzungen!$B$2+1,FALSE)</f>
        <v>Jüdische Glaubensgemeinschaften</v>
      </c>
      <c r="J13" s="152"/>
      <c r="K13" s="152" t="str">
        <f>VLOOKUP("&lt;SpaltenTitel_6&gt;",Uebersetzungen!$B$3:$E$63,Uebersetzungen!$B$2+1,FALSE)</f>
        <v>Islamische Glaubensgem.*</v>
      </c>
      <c r="L13" s="152"/>
      <c r="M13" s="152" t="str">
        <f>VLOOKUP("&lt;SpaltenTitel_7&gt;",Uebersetzungen!$B$3:$E$63,Uebersetzungen!$B$2+1,FALSE)</f>
        <v>Andere Religionsgemeinschaften</v>
      </c>
      <c r="N13" s="152"/>
      <c r="O13" s="152" t="str">
        <f>VLOOKUP("&lt;SpaltenTitel_8&gt;",Uebersetzungen!$B$3:$E$63,Uebersetzungen!$B$2+1,FALSE)</f>
        <v>Ohne Religionszugehörigkeit</v>
      </c>
      <c r="P13" s="152"/>
      <c r="Q13" s="152" t="str">
        <f>VLOOKUP("&lt;SpaltenTitel_9&gt;",Uebersetzungen!$B$3:$E$63,Uebersetzungen!$B$2+1,FALSE)</f>
        <v>Religionszugehörigkeit unbekannt</v>
      </c>
      <c r="R13" s="153"/>
    </row>
    <row r="14" spans="1:18" s="78" customFormat="1" ht="39" thickBot="1" x14ac:dyDescent="0.3">
      <c r="A14" s="6"/>
      <c r="B14" s="151"/>
      <c r="C14" s="112" t="str">
        <f>VLOOKUP("&lt;SpaltenTitel_2.1&gt;",Uebersetzungen!$B$3:$E$63,Uebersetzungen!$B$2+1,FALSE)</f>
        <v>Anzahl Personen</v>
      </c>
      <c r="D14" s="112" t="str">
        <f>VLOOKUP("&lt;SpaltenTitel_2.2&gt;",Uebersetzungen!$B$3:$E$63,Uebersetzungen!$B$2+1,FALSE)</f>
        <v>Vertrauens- intervall:          ± (in %)</v>
      </c>
      <c r="E14" s="112" t="str">
        <f>VLOOKUP("&lt;SpaltenTitel_2.1&gt;",Uebersetzungen!$B$3:$E$63,Uebersetzungen!$B$2+1,FALSE)</f>
        <v>Anzahl Personen</v>
      </c>
      <c r="F14" s="112" t="str">
        <f>VLOOKUP("&lt;SpaltenTitel_2.2&gt;",Uebersetzungen!$B$3:$E$63,Uebersetzungen!$B$2+1,FALSE)</f>
        <v>Vertrauens- intervall:          ± (in %)</v>
      </c>
      <c r="G14" s="112" t="str">
        <f>VLOOKUP("&lt;SpaltenTitel_2.1&gt;",Uebersetzungen!$B$3:$E$63,Uebersetzungen!$B$2+1,FALSE)</f>
        <v>Anzahl Personen</v>
      </c>
      <c r="H14" s="112" t="str">
        <f>VLOOKUP("&lt;SpaltenTitel_2.2&gt;",Uebersetzungen!$B$3:$E$63,Uebersetzungen!$B$2+1,FALSE)</f>
        <v>Vertrauens- intervall:          ± (in %)</v>
      </c>
      <c r="I14" s="112" t="str">
        <f>VLOOKUP("&lt;SpaltenTitel_2.1&gt;",Uebersetzungen!$B$3:$E$63,Uebersetzungen!$B$2+1,FALSE)</f>
        <v>Anzahl Personen</v>
      </c>
      <c r="J14" s="112" t="str">
        <f>VLOOKUP("&lt;SpaltenTitel_2.2&gt;",Uebersetzungen!$B$3:$E$63,Uebersetzungen!$B$2+1,FALSE)</f>
        <v>Vertrauens- intervall:          ± (in %)</v>
      </c>
      <c r="K14" s="112" t="str">
        <f>VLOOKUP("&lt;SpaltenTitel_2.1&gt;",Uebersetzungen!$B$3:$E$63,Uebersetzungen!$B$2+1,FALSE)</f>
        <v>Anzahl Personen</v>
      </c>
      <c r="L14" s="112" t="str">
        <f>VLOOKUP("&lt;SpaltenTitel_2.2&gt;",Uebersetzungen!$B$3:$E$63,Uebersetzungen!$B$2+1,FALSE)</f>
        <v>Vertrauens- intervall:          ± (in %)</v>
      </c>
      <c r="M14" s="112" t="str">
        <f>VLOOKUP("&lt;SpaltenTitel_2.1&gt;",Uebersetzungen!$B$3:$E$63,Uebersetzungen!$B$2+1,FALSE)</f>
        <v>Anzahl Personen</v>
      </c>
      <c r="N14" s="112" t="str">
        <f>VLOOKUP("&lt;SpaltenTitel_2.2&gt;",Uebersetzungen!$B$3:$E$63,Uebersetzungen!$B$2+1,FALSE)</f>
        <v>Vertrauens- intervall:          ± (in %)</v>
      </c>
      <c r="O14" s="112" t="str">
        <f>VLOOKUP("&lt;SpaltenTitel_2.1&gt;",Uebersetzungen!$B$3:$E$63,Uebersetzungen!$B$2+1,FALSE)</f>
        <v>Anzahl Personen</v>
      </c>
      <c r="P14" s="112" t="str">
        <f>VLOOKUP("&lt;SpaltenTitel_2.2&gt;",Uebersetzungen!$B$3:$E$63,Uebersetzungen!$B$2+1,FALSE)</f>
        <v>Vertrauens- intervall:          ± (in %)</v>
      </c>
      <c r="Q14" s="112" t="str">
        <f>VLOOKUP("&lt;SpaltenTitel_2.1&gt;",Uebersetzungen!$B$3:$E$63,Uebersetzungen!$B$2+1,FALSE)</f>
        <v>Anzahl Personen</v>
      </c>
      <c r="R14" s="113" t="str">
        <f>VLOOKUP("&lt;SpaltenTitel_2.2&gt;",Uebersetzungen!$B$3:$E$63,Uebersetzungen!$B$2+1,FALSE)</f>
        <v>Vertrauens- intervall:          ± (in %)</v>
      </c>
    </row>
    <row r="15" spans="1:18" s="76" customFormat="1" ht="12.75" x14ac:dyDescent="0.2">
      <c r="A15" s="14" t="str">
        <f>VLOOKUP("&lt;Zeilentitel_1&gt;",Uebersetzungen!$B$3:$E$63,Uebersetzungen!$B$2+1,FALSE)</f>
        <v>Total</v>
      </c>
      <c r="B15" s="28">
        <v>6662333</v>
      </c>
      <c r="C15" s="108">
        <v>1792064</v>
      </c>
      <c r="D15" s="119">
        <v>0.59322658119352878</v>
      </c>
      <c r="E15" s="120">
        <v>2544602</v>
      </c>
      <c r="F15" s="119">
        <v>0.44694612359811081</v>
      </c>
      <c r="G15" s="109">
        <v>378512</v>
      </c>
      <c r="H15" s="121">
        <v>1.5674536078116414</v>
      </c>
      <c r="I15" s="109">
        <v>16889</v>
      </c>
      <c r="J15" s="119">
        <v>7.5137663568002848</v>
      </c>
      <c r="K15" s="110">
        <v>328011</v>
      </c>
      <c r="L15" s="119">
        <v>1.7871351875394423</v>
      </c>
      <c r="M15" s="109">
        <v>88719</v>
      </c>
      <c r="N15" s="121">
        <v>3.4028787520147881</v>
      </c>
      <c r="O15" s="108">
        <v>1428403</v>
      </c>
      <c r="P15" s="119">
        <v>0.71926480132007564</v>
      </c>
      <c r="Q15" s="109">
        <v>85133.379490535663</v>
      </c>
      <c r="R15" s="122">
        <v>3.2365455689138316</v>
      </c>
    </row>
    <row r="16" spans="1:18" s="76" customFormat="1" ht="12.75" x14ac:dyDescent="0.2">
      <c r="A16" s="56" t="str">
        <f>VLOOKUP("&lt;Zeilentitel_2&gt;",Uebersetzungen!$B$3:$E$63,Uebersetzungen!$B$2+1,FALSE)</f>
        <v>Genferseeregion</v>
      </c>
      <c r="B16" s="114">
        <v>1217002</v>
      </c>
      <c r="C16" s="57">
        <v>213529</v>
      </c>
      <c r="D16" s="58">
        <v>1.5075235682272665</v>
      </c>
      <c r="E16" s="59">
        <v>516240</v>
      </c>
      <c r="F16" s="58">
        <v>0.8422439175577251</v>
      </c>
      <c r="G16" s="57">
        <v>63632</v>
      </c>
      <c r="H16" s="60">
        <v>3.2043625848629618</v>
      </c>
      <c r="I16" s="57">
        <v>6457</v>
      </c>
      <c r="J16" s="58">
        <v>9.9426978472975058</v>
      </c>
      <c r="K16" s="59">
        <v>54458</v>
      </c>
      <c r="L16" s="58">
        <v>3.6339931690477063</v>
      </c>
      <c r="M16" s="57">
        <v>16189</v>
      </c>
      <c r="N16" s="60">
        <v>6.6094261535610599</v>
      </c>
      <c r="O16" s="57">
        <v>317075</v>
      </c>
      <c r="P16" s="58">
        <v>1.2460774264763859</v>
      </c>
      <c r="Q16" s="57">
        <v>29423.268568107902</v>
      </c>
      <c r="R16" s="61">
        <v>4.8279595628983962</v>
      </c>
    </row>
    <row r="17" spans="1:18" s="76" customFormat="1" ht="12.75" x14ac:dyDescent="0.2">
      <c r="A17" s="7" t="str">
        <f>VLOOKUP("&lt;Zeilentitel_3&gt;",Uebersetzungen!$B$3:$E$63,Uebersetzungen!$B$2+1,FALSE)</f>
        <v>Waadt</v>
      </c>
      <c r="B17" s="115">
        <v>596537</v>
      </c>
      <c r="C17" s="29">
        <v>158928</v>
      </c>
      <c r="D17" s="30">
        <v>1.6101630927212323</v>
      </c>
      <c r="E17" s="31">
        <v>187280</v>
      </c>
      <c r="F17" s="30">
        <v>1.4838744126441692</v>
      </c>
      <c r="G17" s="29">
        <v>37439</v>
      </c>
      <c r="H17" s="32">
        <v>3.8729666924864445</v>
      </c>
      <c r="I17" s="29">
        <v>1940</v>
      </c>
      <c r="J17" s="30">
        <v>17.577319587628864</v>
      </c>
      <c r="K17" s="31">
        <v>28128</v>
      </c>
      <c r="L17" s="30">
        <v>4.6857224118316267</v>
      </c>
      <c r="M17" s="29">
        <v>8959</v>
      </c>
      <c r="N17" s="32">
        <v>8.3044982698961931</v>
      </c>
      <c r="O17" s="29">
        <v>160477</v>
      </c>
      <c r="P17" s="30">
        <v>1.6612972575509262</v>
      </c>
      <c r="Q17" s="29">
        <v>13385.400580336001</v>
      </c>
      <c r="R17" s="33">
        <v>6.58347033786404</v>
      </c>
    </row>
    <row r="18" spans="1:18" s="76" customFormat="1" ht="12.75" x14ac:dyDescent="0.2">
      <c r="A18" s="7" t="str">
        <f>VLOOKUP("&lt;Zeilentitel_4&gt;",Uebersetzungen!$B$3:$E$63,Uebersetzungen!$B$2+1,FALSE)</f>
        <v>Wallis</v>
      </c>
      <c r="B18" s="115">
        <v>267515</v>
      </c>
      <c r="C18" s="29">
        <v>16725</v>
      </c>
      <c r="D18" s="30">
        <v>8.1494768310911798</v>
      </c>
      <c r="E18" s="31">
        <v>200291</v>
      </c>
      <c r="F18" s="30">
        <v>1.2322071386133175</v>
      </c>
      <c r="G18" s="29">
        <v>7074</v>
      </c>
      <c r="H18" s="32">
        <v>13.316369804919423</v>
      </c>
      <c r="I18" s="34">
        <v>291.88479000000001</v>
      </c>
      <c r="J18" s="35">
        <v>64.71565716048444</v>
      </c>
      <c r="K18" s="31">
        <v>6746</v>
      </c>
      <c r="L18" s="30">
        <v>14.260302401423067</v>
      </c>
      <c r="M18" s="36">
        <v>1907</v>
      </c>
      <c r="N18" s="37">
        <v>26.166754063974828</v>
      </c>
      <c r="O18" s="29">
        <v>29647</v>
      </c>
      <c r="P18" s="30">
        <v>6.1557661820757579</v>
      </c>
      <c r="Q18" s="29">
        <v>4832.0814440363056</v>
      </c>
      <c r="R18" s="33">
        <v>15.699965141104906</v>
      </c>
    </row>
    <row r="19" spans="1:18" s="76" customFormat="1" ht="12.75" x14ac:dyDescent="0.2">
      <c r="A19" s="7" t="str">
        <f>VLOOKUP("&lt;Zeilentitel_5&gt;",Uebersetzungen!$B$3:$E$63,Uebersetzungen!$B$2+1,FALSE)</f>
        <v>Genf</v>
      </c>
      <c r="B19" s="115">
        <v>352950</v>
      </c>
      <c r="C19" s="29">
        <v>37875</v>
      </c>
      <c r="D19" s="30">
        <v>3.7042904290429042</v>
      </c>
      <c r="E19" s="31">
        <v>128669</v>
      </c>
      <c r="F19" s="30">
        <v>1.7587763952467184</v>
      </c>
      <c r="G19" s="29">
        <v>19119</v>
      </c>
      <c r="H19" s="32">
        <v>5.6540614048851925</v>
      </c>
      <c r="I19" s="29">
        <v>4224</v>
      </c>
      <c r="J19" s="30">
        <v>12.097537878787879</v>
      </c>
      <c r="K19" s="31">
        <v>19583</v>
      </c>
      <c r="L19" s="30">
        <v>5.7243527549405098</v>
      </c>
      <c r="M19" s="29">
        <v>5322</v>
      </c>
      <c r="N19" s="32">
        <v>11.010898158586997</v>
      </c>
      <c r="O19" s="29">
        <v>126951</v>
      </c>
      <c r="P19" s="30">
        <v>1.794393112303172</v>
      </c>
      <c r="Q19" s="29">
        <v>11205.786543735599</v>
      </c>
      <c r="R19" s="33">
        <v>7.2821720782592045</v>
      </c>
    </row>
    <row r="20" spans="1:18" s="76" customFormat="1" ht="12.75" x14ac:dyDescent="0.2">
      <c r="A20" s="56" t="str">
        <f>VLOOKUP("&lt;Zeilentitel_6&gt;",Uebersetzungen!$B$3:$E$63,Uebersetzungen!$B$2+1,FALSE)</f>
        <v>Espace Mittelland</v>
      </c>
      <c r="B20" s="114">
        <v>1490441</v>
      </c>
      <c r="C20" s="57">
        <v>587442</v>
      </c>
      <c r="D20" s="58">
        <v>0.97626659312749164</v>
      </c>
      <c r="E20" s="59">
        <v>430560</v>
      </c>
      <c r="F20" s="58">
        <v>1.2205035302861389</v>
      </c>
      <c r="G20" s="57">
        <v>81781</v>
      </c>
      <c r="H20" s="60">
        <v>3.5876303786943176</v>
      </c>
      <c r="I20" s="62">
        <v>1476</v>
      </c>
      <c r="J20" s="63">
        <v>27.168021680216803</v>
      </c>
      <c r="K20" s="59">
        <v>59590</v>
      </c>
      <c r="L20" s="58">
        <v>4.5276053029031722</v>
      </c>
      <c r="M20" s="57">
        <v>20448</v>
      </c>
      <c r="N20" s="60">
        <v>7.5215179968701102</v>
      </c>
      <c r="O20" s="57">
        <v>290498</v>
      </c>
      <c r="P20" s="58">
        <v>1.7129205708817274</v>
      </c>
      <c r="Q20" s="57">
        <v>18646.571933749088</v>
      </c>
      <c r="R20" s="61">
        <v>7.4374898024363354</v>
      </c>
    </row>
    <row r="21" spans="1:18" s="76" customFormat="1" ht="12.75" x14ac:dyDescent="0.2">
      <c r="A21" s="7" t="str">
        <f>VLOOKUP("&lt;Zeilentitel_7&gt;",Uebersetzungen!$B$3:$E$63,Uebersetzungen!$B$2+1,FALSE)</f>
        <v>Bern</v>
      </c>
      <c r="B21" s="115">
        <v>835001</v>
      </c>
      <c r="C21" s="29">
        <v>463420</v>
      </c>
      <c r="D21" s="30">
        <v>1.0426826636744206</v>
      </c>
      <c r="E21" s="31">
        <v>130055</v>
      </c>
      <c r="F21" s="30">
        <v>2.754988274191688</v>
      </c>
      <c r="G21" s="29">
        <v>53759</v>
      </c>
      <c r="H21" s="32">
        <v>4.5034319834818355</v>
      </c>
      <c r="I21" s="34">
        <v>898.87842999999998</v>
      </c>
      <c r="J21" s="35">
        <v>36.503442406555472</v>
      </c>
      <c r="K21" s="31">
        <v>29301</v>
      </c>
      <c r="L21" s="30">
        <v>6.6311729975086182</v>
      </c>
      <c r="M21" s="29">
        <v>13481</v>
      </c>
      <c r="N21" s="32">
        <v>9.5245159854610204</v>
      </c>
      <c r="O21" s="29">
        <v>135348</v>
      </c>
      <c r="P21" s="30">
        <v>2.7277831959098031</v>
      </c>
      <c r="Q21" s="29">
        <v>8737.7169297130094</v>
      </c>
      <c r="R21" s="33">
        <v>11.423484919360002</v>
      </c>
    </row>
    <row r="22" spans="1:18" s="76" customFormat="1" ht="12.75" x14ac:dyDescent="0.2">
      <c r="A22" s="7" t="str">
        <f>VLOOKUP("&lt;Zeilentitel_8&gt;",Uebersetzungen!$B$3:$E$63,Uebersetzungen!$B$2+1,FALSE)</f>
        <v>Freiburg</v>
      </c>
      <c r="B22" s="115">
        <v>234964</v>
      </c>
      <c r="C22" s="29">
        <v>30415</v>
      </c>
      <c r="D22" s="30">
        <v>5.773467039289824</v>
      </c>
      <c r="E22" s="31">
        <v>148351</v>
      </c>
      <c r="F22" s="30">
        <v>1.7290075564033947</v>
      </c>
      <c r="G22" s="29">
        <v>7979</v>
      </c>
      <c r="H22" s="32">
        <v>12.144378994861512</v>
      </c>
      <c r="I22" s="34">
        <v>189.56885</v>
      </c>
      <c r="J22" s="35">
        <v>78.738948935967073</v>
      </c>
      <c r="K22" s="31">
        <v>8594</v>
      </c>
      <c r="L22" s="30">
        <v>11.938561787293461</v>
      </c>
      <c r="M22" s="29">
        <v>1783</v>
      </c>
      <c r="N22" s="32">
        <v>26.584408300616936</v>
      </c>
      <c r="O22" s="29">
        <v>33627</v>
      </c>
      <c r="P22" s="30">
        <v>5.5937193326790968</v>
      </c>
      <c r="Q22" s="29">
        <v>4025.5456810417786</v>
      </c>
      <c r="R22" s="33">
        <v>17.499846552775487</v>
      </c>
    </row>
    <row r="23" spans="1:18" s="76" customFormat="1" ht="12.75" x14ac:dyDescent="0.2">
      <c r="A23" s="7" t="str">
        <f>VLOOKUP("&lt;Zeilentitel_9&gt;",Uebersetzungen!$B$3:$E$63,Uebersetzungen!$B$2+1,FALSE)</f>
        <v>Solothurn</v>
      </c>
      <c r="B23" s="115">
        <v>218612</v>
      </c>
      <c r="C23" s="29">
        <v>53693</v>
      </c>
      <c r="D23" s="30">
        <v>4.0452200473059801</v>
      </c>
      <c r="E23" s="31">
        <v>76472</v>
      </c>
      <c r="F23" s="30">
        <v>3.1841719845172092</v>
      </c>
      <c r="G23" s="29">
        <v>10916</v>
      </c>
      <c r="H23" s="32">
        <v>10.397581531696593</v>
      </c>
      <c r="I23" s="38" t="s">
        <v>1</v>
      </c>
      <c r="J23" s="30" t="s">
        <v>1</v>
      </c>
      <c r="K23" s="31">
        <v>14928</v>
      </c>
      <c r="L23" s="30">
        <v>9.5525187566988201</v>
      </c>
      <c r="M23" s="29">
        <v>2938</v>
      </c>
      <c r="N23" s="32">
        <v>20.319945541184477</v>
      </c>
      <c r="O23" s="29">
        <v>58110</v>
      </c>
      <c r="P23" s="30">
        <v>3.9149888143176734</v>
      </c>
      <c r="Q23" s="29">
        <v>1426.9580171284138</v>
      </c>
      <c r="R23" s="33">
        <v>29.128125673941497</v>
      </c>
    </row>
    <row r="24" spans="1:18" s="76" customFormat="1" ht="12.75" x14ac:dyDescent="0.2">
      <c r="A24" s="7" t="str">
        <f>VLOOKUP("&lt;Zeilentitel_10&gt;",Uebersetzungen!$B$3:$E$63,Uebersetzungen!$B$2+1,FALSE)</f>
        <v>Neuenburg</v>
      </c>
      <c r="B24" s="115">
        <v>143407</v>
      </c>
      <c r="C24" s="29">
        <v>34015</v>
      </c>
      <c r="D24" s="30">
        <v>3.5778333088343377</v>
      </c>
      <c r="E24" s="31">
        <v>35003</v>
      </c>
      <c r="F24" s="30">
        <v>3.5854069651172757</v>
      </c>
      <c r="G24" s="29">
        <v>7141</v>
      </c>
      <c r="H24" s="32">
        <v>8.8643047192269986</v>
      </c>
      <c r="I24" s="34">
        <v>241.70724000000001</v>
      </c>
      <c r="J24" s="35">
        <v>49.199291672024387</v>
      </c>
      <c r="K24" s="31">
        <v>5324</v>
      </c>
      <c r="L24" s="30">
        <v>10.687453042824943</v>
      </c>
      <c r="M24" s="29">
        <v>2003</v>
      </c>
      <c r="N24" s="32">
        <v>17.324013979031452</v>
      </c>
      <c r="O24" s="29">
        <v>56360</v>
      </c>
      <c r="P24" s="30">
        <v>2.5567778566359118</v>
      </c>
      <c r="Q24" s="29">
        <v>3318.783468340338</v>
      </c>
      <c r="R24" s="33">
        <v>13.205983680212372</v>
      </c>
    </row>
    <row r="25" spans="1:18" s="76" customFormat="1" ht="12.75" x14ac:dyDescent="0.2">
      <c r="A25" s="7" t="str">
        <f>VLOOKUP("&lt;Zeilentitel_11&gt;",Uebersetzungen!$B$3:$E$63,Uebersetzungen!$B$2+1,FALSE)</f>
        <v>Jura</v>
      </c>
      <c r="B25" s="115">
        <v>58457</v>
      </c>
      <c r="C25" s="29">
        <v>5898</v>
      </c>
      <c r="D25" s="30">
        <v>9.3930145812139703</v>
      </c>
      <c r="E25" s="31">
        <v>40678</v>
      </c>
      <c r="F25" s="30">
        <v>2.1117065735778553</v>
      </c>
      <c r="G25" s="29">
        <v>1986</v>
      </c>
      <c r="H25" s="32">
        <v>17.170191339375627</v>
      </c>
      <c r="I25" s="38" t="s">
        <v>1</v>
      </c>
      <c r="J25" s="30" t="s">
        <v>1</v>
      </c>
      <c r="K25" s="39">
        <v>1442</v>
      </c>
      <c r="L25" s="35">
        <v>21.63661581137309</v>
      </c>
      <c r="M25" s="34">
        <v>243.54977</v>
      </c>
      <c r="N25" s="37">
        <v>49.259307450793315</v>
      </c>
      <c r="O25" s="29">
        <v>7054</v>
      </c>
      <c r="P25" s="30">
        <v>8.7184576127020126</v>
      </c>
      <c r="Q25" s="34">
        <v>1137.5678375255507</v>
      </c>
      <c r="R25" s="40">
        <v>22.56490095073578</v>
      </c>
    </row>
    <row r="26" spans="1:18" s="76" customFormat="1" ht="12.75" x14ac:dyDescent="0.2">
      <c r="A26" s="56" t="str">
        <f>VLOOKUP("&lt;Zeilentitel_12&gt;",Uebersetzungen!$B$3:$E$63,Uebersetzungen!$B$2+1,FALSE)</f>
        <v>Nordwestschweiz</v>
      </c>
      <c r="B26" s="116">
        <v>917484</v>
      </c>
      <c r="C26" s="57">
        <v>250674</v>
      </c>
      <c r="D26" s="58">
        <v>1.5442367377550126</v>
      </c>
      <c r="E26" s="59">
        <v>280901</v>
      </c>
      <c r="F26" s="58">
        <v>1.4282612023453103</v>
      </c>
      <c r="G26" s="57">
        <v>57197</v>
      </c>
      <c r="H26" s="60">
        <v>3.7781701837508961</v>
      </c>
      <c r="I26" s="57">
        <v>1534</v>
      </c>
      <c r="J26" s="58">
        <v>27.183833116036503</v>
      </c>
      <c r="K26" s="59">
        <v>57138</v>
      </c>
      <c r="L26" s="58">
        <v>4.0288424516083863</v>
      </c>
      <c r="M26" s="57">
        <v>13477</v>
      </c>
      <c r="N26" s="60">
        <v>8.4440157305038213</v>
      </c>
      <c r="O26" s="57">
        <v>248097</v>
      </c>
      <c r="P26" s="58">
        <v>1.6211401185826511</v>
      </c>
      <c r="Q26" s="57">
        <v>8465.8736630106505</v>
      </c>
      <c r="R26" s="61">
        <v>10.501025808907599</v>
      </c>
    </row>
    <row r="27" spans="1:18" s="76" customFormat="1" ht="12.75" x14ac:dyDescent="0.2">
      <c r="A27" s="7" t="str">
        <f>VLOOKUP("&lt;Zeilentitel_13&gt;",Uebersetzungen!$B$3:$E$63,Uebersetzungen!$B$2+1,FALSE)</f>
        <v>Basel-Stadt</v>
      </c>
      <c r="B27" s="115">
        <v>159333</v>
      </c>
      <c r="C27" s="29">
        <v>28434</v>
      </c>
      <c r="D27" s="30">
        <v>6.017443905183935</v>
      </c>
      <c r="E27" s="31">
        <v>31657</v>
      </c>
      <c r="F27" s="30">
        <v>5.7491234166219156</v>
      </c>
      <c r="G27" s="29">
        <v>10220</v>
      </c>
      <c r="H27" s="32">
        <v>11.105675146771036</v>
      </c>
      <c r="I27" s="34">
        <v>954.91371000000004</v>
      </c>
      <c r="J27" s="35">
        <v>36.871005862927653</v>
      </c>
      <c r="K27" s="31">
        <v>12809</v>
      </c>
      <c r="L27" s="30">
        <v>10.125692872199235</v>
      </c>
      <c r="M27" s="29">
        <v>3481</v>
      </c>
      <c r="N27" s="32">
        <v>20.109164033323758</v>
      </c>
      <c r="O27" s="29">
        <v>69828</v>
      </c>
      <c r="P27" s="30">
        <v>3.2909434610757864</v>
      </c>
      <c r="Q27" s="29">
        <v>1949.3589386742597</v>
      </c>
      <c r="R27" s="33">
        <v>26.371908061822904</v>
      </c>
    </row>
    <row r="28" spans="1:18" s="76" customFormat="1" ht="12.75" x14ac:dyDescent="0.2">
      <c r="A28" s="7" t="str">
        <f>VLOOKUP("&lt;Zeilentitel_14&gt;",Uebersetzungen!$B$3:$E$63,Uebersetzungen!$B$2+1,FALSE)</f>
        <v>Basel-Landschaft</v>
      </c>
      <c r="B28" s="115">
        <v>233662</v>
      </c>
      <c r="C28" s="29">
        <v>77876</v>
      </c>
      <c r="D28" s="30">
        <v>3.1575838512507062</v>
      </c>
      <c r="E28" s="31">
        <v>65975</v>
      </c>
      <c r="F28" s="30">
        <v>3.6271314892004547</v>
      </c>
      <c r="G28" s="29">
        <v>12702</v>
      </c>
      <c r="H28" s="32">
        <v>9.5575499921272247</v>
      </c>
      <c r="I28" s="34">
        <v>259.30766999999997</v>
      </c>
      <c r="J28" s="35">
        <v>68.282176150053729</v>
      </c>
      <c r="K28" s="31">
        <v>11664</v>
      </c>
      <c r="L28" s="30">
        <v>10.87962962962963</v>
      </c>
      <c r="M28" s="29">
        <v>3027</v>
      </c>
      <c r="N28" s="32">
        <v>20.515361744301288</v>
      </c>
      <c r="O28" s="29">
        <v>59970</v>
      </c>
      <c r="P28" s="30">
        <v>3.9002834750708688</v>
      </c>
      <c r="Q28" s="29">
        <v>2188.9111055578132</v>
      </c>
      <c r="R28" s="33">
        <v>23.65030214814432</v>
      </c>
    </row>
    <row r="29" spans="1:18" s="76" customFormat="1" ht="12.75" x14ac:dyDescent="0.2">
      <c r="A29" s="7" t="str">
        <f>VLOOKUP("&lt;Zeilentitel_15&gt;",Uebersetzungen!$B$3:$E$63,Uebersetzungen!$B$2+1,FALSE)</f>
        <v>Aargau</v>
      </c>
      <c r="B29" s="115">
        <v>524489</v>
      </c>
      <c r="C29" s="29">
        <v>144365</v>
      </c>
      <c r="D29" s="30">
        <v>1.6998579988224294</v>
      </c>
      <c r="E29" s="31">
        <v>183268</v>
      </c>
      <c r="F29" s="30">
        <v>1.4519719754676212</v>
      </c>
      <c r="G29" s="29">
        <v>34275</v>
      </c>
      <c r="H29" s="32">
        <v>4.0320933625091175</v>
      </c>
      <c r="I29" s="34">
        <v>320.15462000000002</v>
      </c>
      <c r="J29" s="35">
        <v>42.554207089062153</v>
      </c>
      <c r="K29" s="31">
        <v>32664</v>
      </c>
      <c r="L29" s="30">
        <v>4.3381092334068088</v>
      </c>
      <c r="M29" s="29">
        <v>6970</v>
      </c>
      <c r="N29" s="32">
        <v>9.2826398852223804</v>
      </c>
      <c r="O29" s="29">
        <v>118299</v>
      </c>
      <c r="P29" s="30">
        <v>1.9822652769676836</v>
      </c>
      <c r="Q29" s="29">
        <v>4327.6036187785767</v>
      </c>
      <c r="R29" s="33">
        <v>11.740330572607707</v>
      </c>
    </row>
    <row r="30" spans="1:18" s="76" customFormat="1" ht="12.75" x14ac:dyDescent="0.2">
      <c r="A30" s="7" t="str">
        <f>VLOOKUP("&lt;Zeilentitel_16&gt;",Uebersetzungen!$B$3:$E$63,Uebersetzungen!$B$2+1,FALSE)</f>
        <v>Zürich</v>
      </c>
      <c r="B30" s="117">
        <v>1173920</v>
      </c>
      <c r="C30" s="29">
        <v>377369</v>
      </c>
      <c r="D30" s="30">
        <v>1.4516295721164165</v>
      </c>
      <c r="E30" s="31">
        <v>322234</v>
      </c>
      <c r="F30" s="30">
        <v>1.6621461422444559</v>
      </c>
      <c r="G30" s="29">
        <v>81085</v>
      </c>
      <c r="H30" s="32">
        <v>3.792316704692607</v>
      </c>
      <c r="I30" s="29">
        <v>6023</v>
      </c>
      <c r="J30" s="30">
        <v>14.361613813714097</v>
      </c>
      <c r="K30" s="31">
        <v>72289</v>
      </c>
      <c r="L30" s="30">
        <v>4.2177924718836888</v>
      </c>
      <c r="M30" s="29">
        <v>20047</v>
      </c>
      <c r="N30" s="32">
        <v>8.0411034069935639</v>
      </c>
      <c r="O30" s="29">
        <v>284207</v>
      </c>
      <c r="P30" s="30">
        <v>1.8268374811317105</v>
      </c>
      <c r="Q30" s="29">
        <v>10667.087193765814</v>
      </c>
      <c r="R30" s="33">
        <v>10.824586422590126</v>
      </c>
    </row>
    <row r="31" spans="1:18" s="76" customFormat="1" ht="12.75" x14ac:dyDescent="0.2">
      <c r="A31" s="56" t="str">
        <f>VLOOKUP("&lt;Zeilentitel_17&gt;",Uebersetzungen!$B$3:$E$63,Uebersetzungen!$B$2+1,FALSE)</f>
        <v>Ostschweiz</v>
      </c>
      <c r="B31" s="114">
        <v>939095</v>
      </c>
      <c r="C31" s="57">
        <v>279924</v>
      </c>
      <c r="D31" s="58">
        <v>1.5815006930452551</v>
      </c>
      <c r="E31" s="59">
        <v>385058</v>
      </c>
      <c r="F31" s="58">
        <v>1.2668221410800451</v>
      </c>
      <c r="G31" s="57">
        <v>54053</v>
      </c>
      <c r="H31" s="60">
        <v>4.3494348139788723</v>
      </c>
      <c r="I31" s="64">
        <v>466.10178999999999</v>
      </c>
      <c r="J31" s="63">
        <v>48.943997833606261</v>
      </c>
      <c r="K31" s="59">
        <v>53526</v>
      </c>
      <c r="L31" s="58">
        <v>4.6089750775324143</v>
      </c>
      <c r="M31" s="57">
        <v>9911</v>
      </c>
      <c r="N31" s="60">
        <v>10.503480980728483</v>
      </c>
      <c r="O31" s="57">
        <v>148210</v>
      </c>
      <c r="P31" s="58">
        <v>2.489035827542001</v>
      </c>
      <c r="Q31" s="57">
        <v>7947.0122145706646</v>
      </c>
      <c r="R31" s="61">
        <v>11.658699144074204</v>
      </c>
    </row>
    <row r="32" spans="1:18" s="76" customFormat="1" ht="12.75" x14ac:dyDescent="0.2">
      <c r="A32" s="7" t="str">
        <f>VLOOKUP("&lt;Zeilentitel_18&gt;",Uebersetzungen!$B$3:$E$63,Uebersetzungen!$B$2+1,FALSE)</f>
        <v>Glarus</v>
      </c>
      <c r="B32" s="115">
        <v>33078</v>
      </c>
      <c r="C32" s="29">
        <v>11736</v>
      </c>
      <c r="D32" s="30">
        <v>8.1032719836400808</v>
      </c>
      <c r="E32" s="31">
        <v>11520</v>
      </c>
      <c r="F32" s="30">
        <v>8.3159722222222214</v>
      </c>
      <c r="G32" s="36">
        <v>1517</v>
      </c>
      <c r="H32" s="37">
        <v>27.356624917600524</v>
      </c>
      <c r="I32" s="38" t="s">
        <v>1</v>
      </c>
      <c r="J32" s="30" t="s">
        <v>1</v>
      </c>
      <c r="K32" s="31">
        <v>2419</v>
      </c>
      <c r="L32" s="30">
        <v>22.323274080198431</v>
      </c>
      <c r="M32" s="34">
        <v>516.62824000000001</v>
      </c>
      <c r="N32" s="37">
        <v>48.01779709138625</v>
      </c>
      <c r="O32" s="29">
        <v>4972</v>
      </c>
      <c r="P32" s="30">
        <v>14.561544650040226</v>
      </c>
      <c r="Q32" s="38">
        <v>368.92809486052784</v>
      </c>
      <c r="R32" s="33">
        <v>55.410096079155366</v>
      </c>
    </row>
    <row r="33" spans="1:18" s="76" customFormat="1" ht="12.75" x14ac:dyDescent="0.2">
      <c r="A33" s="7" t="str">
        <f>VLOOKUP("&lt;Zeilentitel_19&gt;",Uebersetzungen!$B$3:$E$63,Uebersetzungen!$B$2+1,FALSE)</f>
        <v>Schaffhausen</v>
      </c>
      <c r="B33" s="115">
        <v>65879</v>
      </c>
      <c r="C33" s="29">
        <v>25990</v>
      </c>
      <c r="D33" s="30">
        <v>5.2635629088110818</v>
      </c>
      <c r="E33" s="31">
        <v>14688</v>
      </c>
      <c r="F33" s="30">
        <v>8.0133442265795196</v>
      </c>
      <c r="G33" s="29">
        <v>4328</v>
      </c>
      <c r="H33" s="32">
        <v>16.243068391866913</v>
      </c>
      <c r="I33" s="38" t="s">
        <v>1</v>
      </c>
      <c r="J33" s="30" t="s">
        <v>1</v>
      </c>
      <c r="K33" s="31">
        <v>4499</v>
      </c>
      <c r="L33" s="30">
        <v>16.403645254501001</v>
      </c>
      <c r="M33" s="36">
        <v>680.36247000000003</v>
      </c>
      <c r="N33" s="37">
        <v>41.066934512128505</v>
      </c>
      <c r="O33" s="29">
        <v>14789</v>
      </c>
      <c r="P33" s="30">
        <v>8.0329974981405101</v>
      </c>
      <c r="Q33" s="34">
        <v>904.11445827304408</v>
      </c>
      <c r="R33" s="40">
        <v>37.125748513895331</v>
      </c>
    </row>
    <row r="34" spans="1:18" s="76" customFormat="1" ht="12.75" x14ac:dyDescent="0.2">
      <c r="A34" s="7" t="str">
        <f>VLOOKUP("&lt;Zeilentitel_20&gt;",Uebersetzungen!$B$3:$E$63,Uebersetzungen!$B$2+1,FALSE)</f>
        <v>Appenzell Ausserrhoden</v>
      </c>
      <c r="B34" s="115">
        <v>44592</v>
      </c>
      <c r="C34" s="29">
        <v>17960</v>
      </c>
      <c r="D34" s="30">
        <v>6.2583518930957691</v>
      </c>
      <c r="E34" s="31">
        <v>13991</v>
      </c>
      <c r="F34" s="30">
        <v>7.7263955399899942</v>
      </c>
      <c r="G34" s="29">
        <v>3282</v>
      </c>
      <c r="H34" s="32">
        <v>18.525289457647776</v>
      </c>
      <c r="I34" s="38" t="s">
        <v>1</v>
      </c>
      <c r="J34" s="30" t="s">
        <v>1</v>
      </c>
      <c r="K34" s="39">
        <v>1313</v>
      </c>
      <c r="L34" s="35">
        <v>31.226199543031225</v>
      </c>
      <c r="M34" s="34">
        <v>314.44614000000001</v>
      </c>
      <c r="N34" s="37">
        <v>64.430124663002687</v>
      </c>
      <c r="O34" s="29">
        <v>7204</v>
      </c>
      <c r="P34" s="30">
        <v>12.007218212104387</v>
      </c>
      <c r="Q34" s="34">
        <v>496.36388054436526</v>
      </c>
      <c r="R34" s="40">
        <v>49.744272197387588</v>
      </c>
    </row>
    <row r="35" spans="1:18" s="76" customFormat="1" ht="12.75" x14ac:dyDescent="0.2">
      <c r="A35" s="7" t="str">
        <f>VLOOKUP("&lt;Zeilentitel_21&gt;",Uebersetzungen!$B$3:$E$63,Uebersetzungen!$B$2+1,FALSE)</f>
        <v>Appenzell Innerrhoden</v>
      </c>
      <c r="B35" s="115">
        <v>12941</v>
      </c>
      <c r="C35" s="29">
        <v>1083</v>
      </c>
      <c r="D35" s="30">
        <v>33.333333333333329</v>
      </c>
      <c r="E35" s="31">
        <v>10137</v>
      </c>
      <c r="F35" s="30">
        <v>5.4947223044293185</v>
      </c>
      <c r="G35" s="34">
        <v>372.73009000000002</v>
      </c>
      <c r="H35" s="37">
        <v>60.950423938137114</v>
      </c>
      <c r="I35" s="38" t="s">
        <v>1</v>
      </c>
      <c r="J35" s="30" t="s">
        <v>1</v>
      </c>
      <c r="K35" s="41">
        <v>300.47440999999998</v>
      </c>
      <c r="L35" s="35">
        <v>73.155058362540785</v>
      </c>
      <c r="M35" s="34" t="s">
        <v>1</v>
      </c>
      <c r="N35" s="37" t="s">
        <v>1</v>
      </c>
      <c r="O35" s="36">
        <v>932.47335999999996</v>
      </c>
      <c r="P35" s="35">
        <v>37.591062118922096</v>
      </c>
      <c r="Q35" s="38" t="s">
        <v>1</v>
      </c>
      <c r="R35" s="33" t="s">
        <v>1</v>
      </c>
    </row>
    <row r="36" spans="1:18" s="76" customFormat="1" ht="12.75" x14ac:dyDescent="0.2">
      <c r="A36" s="7" t="str">
        <f>VLOOKUP("&lt;Zeilentitel_22&gt;",Uebersetzungen!$B$3:$E$63,Uebersetzungen!$B$2+1,FALSE)</f>
        <v>St. Gallen</v>
      </c>
      <c r="B36" s="115">
        <v>404294</v>
      </c>
      <c r="C36" s="29">
        <v>89684</v>
      </c>
      <c r="D36" s="30">
        <v>3.2023549351054816</v>
      </c>
      <c r="E36" s="31">
        <v>191583</v>
      </c>
      <c r="F36" s="30">
        <v>1.825840497330139</v>
      </c>
      <c r="G36" s="29">
        <v>24959</v>
      </c>
      <c r="H36" s="32">
        <v>6.9153411595015823</v>
      </c>
      <c r="I36" s="34">
        <v>306.35223000000002</v>
      </c>
      <c r="J36" s="35">
        <v>64.611737933162729</v>
      </c>
      <c r="K36" s="31">
        <v>29169</v>
      </c>
      <c r="L36" s="30">
        <v>6.709177551510165</v>
      </c>
      <c r="M36" s="29">
        <v>4457</v>
      </c>
      <c r="N36" s="32">
        <v>16.715279335876147</v>
      </c>
      <c r="O36" s="29">
        <v>61116</v>
      </c>
      <c r="P36" s="30">
        <v>4.1969369723149423</v>
      </c>
      <c r="Q36" s="29">
        <v>3020.0562570728316</v>
      </c>
      <c r="R36" s="33">
        <v>20.033640056513889</v>
      </c>
    </row>
    <row r="37" spans="1:18" s="76" customFormat="1" ht="12.75" x14ac:dyDescent="0.2">
      <c r="A37" s="65" t="str">
        <f>VLOOKUP("&lt;Zeilentitel_23&gt;",Uebersetzungen!$B$3:$E$63,Uebersetzungen!$B$2+1,FALSE)</f>
        <v>Graubünden</v>
      </c>
      <c r="B37" s="118">
        <v>164336</v>
      </c>
      <c r="C37" s="66">
        <v>57077</v>
      </c>
      <c r="D37" s="67">
        <v>3.6599681132505211</v>
      </c>
      <c r="E37" s="68">
        <v>72047</v>
      </c>
      <c r="F37" s="67">
        <v>3.1174094688189653</v>
      </c>
      <c r="G37" s="66">
        <v>5757</v>
      </c>
      <c r="H37" s="69">
        <v>14.365120722598576</v>
      </c>
      <c r="I37" s="70" t="s">
        <v>1</v>
      </c>
      <c r="J37" s="67" t="s">
        <v>1</v>
      </c>
      <c r="K37" s="68">
        <v>3176</v>
      </c>
      <c r="L37" s="67">
        <v>19.899244332493705</v>
      </c>
      <c r="M37" s="71">
        <v>1765</v>
      </c>
      <c r="N37" s="72">
        <v>26.288951841359776</v>
      </c>
      <c r="O37" s="66">
        <v>23003</v>
      </c>
      <c r="P37" s="67">
        <v>6.7904186410468208</v>
      </c>
      <c r="Q37" s="73">
        <v>1512.6487799080423</v>
      </c>
      <c r="R37" s="74">
        <v>28.097388659690019</v>
      </c>
    </row>
    <row r="38" spans="1:18" s="76" customFormat="1" ht="12.75" x14ac:dyDescent="0.2">
      <c r="A38" s="7" t="str">
        <f>VLOOKUP("&lt;Zeilentitel_24&gt;",Uebersetzungen!$B$3:$E$63,Uebersetzungen!$B$2+1,FALSE)</f>
        <v>Thurgau</v>
      </c>
      <c r="B38" s="115">
        <v>213975</v>
      </c>
      <c r="C38" s="29">
        <v>76395</v>
      </c>
      <c r="D38" s="30">
        <v>2.2069507166699394</v>
      </c>
      <c r="E38" s="31">
        <v>71093</v>
      </c>
      <c r="F38" s="30">
        <v>2.3574754195209091</v>
      </c>
      <c r="G38" s="29">
        <v>13839</v>
      </c>
      <c r="H38" s="32">
        <v>6.3588409567165254</v>
      </c>
      <c r="I38" s="34">
        <v>98.917829999999995</v>
      </c>
      <c r="J38" s="35">
        <v>78.052268231116685</v>
      </c>
      <c r="K38" s="31">
        <v>12649</v>
      </c>
      <c r="L38" s="30">
        <v>7.1072812080006322</v>
      </c>
      <c r="M38" s="29">
        <v>2063</v>
      </c>
      <c r="N38" s="32">
        <v>16.480853126514784</v>
      </c>
      <c r="O38" s="29">
        <v>36193</v>
      </c>
      <c r="P38" s="30">
        <v>3.7106622827618598</v>
      </c>
      <c r="Q38" s="29">
        <v>1644.9007439118532</v>
      </c>
      <c r="R38" s="33">
        <v>18.875674870982461</v>
      </c>
    </row>
    <row r="39" spans="1:18" s="76" customFormat="1" ht="12.75" x14ac:dyDescent="0.2">
      <c r="A39" s="56" t="str">
        <f>VLOOKUP("&lt;Zeilentitel_25&gt;",Uebersetzungen!$B$3:$E$63,Uebersetzungen!$B$2+1,FALSE)</f>
        <v>Zentralschweiz</v>
      </c>
      <c r="B39" s="116">
        <v>635663</v>
      </c>
      <c r="C39" s="57">
        <v>70414</v>
      </c>
      <c r="D39" s="58">
        <v>3.0959752321981426</v>
      </c>
      <c r="E39" s="59">
        <v>409654</v>
      </c>
      <c r="F39" s="58">
        <v>0.81190468053528098</v>
      </c>
      <c r="G39" s="57">
        <v>25836</v>
      </c>
      <c r="H39" s="60">
        <v>5.4226660473757553</v>
      </c>
      <c r="I39" s="64">
        <v>523.48901000000001</v>
      </c>
      <c r="J39" s="63">
        <v>36.687799806914761</v>
      </c>
      <c r="K39" s="59">
        <v>25658</v>
      </c>
      <c r="L39" s="58">
        <v>5.7331046846987297</v>
      </c>
      <c r="M39" s="57">
        <v>7029</v>
      </c>
      <c r="N39" s="60">
        <v>10.328638497652582</v>
      </c>
      <c r="O39" s="57">
        <v>91940</v>
      </c>
      <c r="P39" s="58">
        <v>2.7213400043506635</v>
      </c>
      <c r="Q39" s="57">
        <v>4608.4715172396063</v>
      </c>
      <c r="R39" s="61">
        <v>13.024135286827565</v>
      </c>
    </row>
    <row r="40" spans="1:18" s="76" customFormat="1" ht="12.75" x14ac:dyDescent="0.2">
      <c r="A40" s="7" t="str">
        <f>VLOOKUP("&lt;Zeilentitel_26&gt;",Uebersetzungen!$B$3:$E$63,Uebersetzungen!$B$2+1,FALSE)</f>
        <v>Luzern</v>
      </c>
      <c r="B40" s="115">
        <v>319481</v>
      </c>
      <c r="C40" s="29">
        <v>35259</v>
      </c>
      <c r="D40" s="30">
        <v>3.8288096656172894</v>
      </c>
      <c r="E40" s="31">
        <v>206978</v>
      </c>
      <c r="F40" s="30">
        <v>0.99914000521794577</v>
      </c>
      <c r="G40" s="29">
        <v>13367</v>
      </c>
      <c r="H40" s="32">
        <v>6.7105558464876189</v>
      </c>
      <c r="I40" s="34">
        <v>260.48354</v>
      </c>
      <c r="J40" s="35">
        <v>47.757781547348443</v>
      </c>
      <c r="K40" s="31">
        <v>13185</v>
      </c>
      <c r="L40" s="30">
        <v>7.0079635949943109</v>
      </c>
      <c r="M40" s="29">
        <v>3960</v>
      </c>
      <c r="N40" s="32">
        <v>12.424242424242424</v>
      </c>
      <c r="O40" s="29">
        <v>44096</v>
      </c>
      <c r="P40" s="30">
        <v>3.4402213352685047</v>
      </c>
      <c r="Q40" s="29">
        <v>2375.8654798335151</v>
      </c>
      <c r="R40" s="33">
        <v>15.664852758877744</v>
      </c>
    </row>
    <row r="41" spans="1:18" s="76" customFormat="1" ht="12.75" x14ac:dyDescent="0.2">
      <c r="A41" s="7" t="str">
        <f>VLOOKUP("&lt;Zeilentitel_27&gt;",Uebersetzungen!$B$3:$E$63,Uebersetzungen!$B$2+1,FALSE)</f>
        <v>Uri</v>
      </c>
      <c r="B41" s="115">
        <v>29490</v>
      </c>
      <c r="C41" s="34">
        <v>1386</v>
      </c>
      <c r="D41" s="35">
        <v>29.365079365079367</v>
      </c>
      <c r="E41" s="31">
        <v>24069</v>
      </c>
      <c r="F41" s="30">
        <v>3.1368149902364038</v>
      </c>
      <c r="G41" s="34">
        <v>871.64799000000005</v>
      </c>
      <c r="H41" s="37">
        <v>38.702780694761877</v>
      </c>
      <c r="I41" s="29" t="s">
        <v>1</v>
      </c>
      <c r="J41" s="30" t="s">
        <v>1</v>
      </c>
      <c r="K41" s="41">
        <v>556.22484999999995</v>
      </c>
      <c r="L41" s="35">
        <v>48.368004414042289</v>
      </c>
      <c r="M41" s="34" t="s">
        <v>1</v>
      </c>
      <c r="N41" s="37" t="s">
        <v>1</v>
      </c>
      <c r="O41" s="29">
        <v>2375</v>
      </c>
      <c r="P41" s="30">
        <v>22.400000000000002</v>
      </c>
      <c r="Q41" s="38" t="s">
        <v>1</v>
      </c>
      <c r="R41" s="33" t="s">
        <v>1</v>
      </c>
    </row>
    <row r="42" spans="1:18" s="76" customFormat="1" ht="12.75" x14ac:dyDescent="0.2">
      <c r="A42" s="7" t="str">
        <f>VLOOKUP("&lt;Zeilentitel_28&gt;",Uebersetzungen!$B$3:$E$63,Uebersetzungen!$B$2+1,FALSE)</f>
        <v>Schwyz</v>
      </c>
      <c r="B42" s="115">
        <v>124783</v>
      </c>
      <c r="C42" s="29">
        <v>14067</v>
      </c>
      <c r="D42" s="30">
        <v>8.587474230468473</v>
      </c>
      <c r="E42" s="31">
        <v>79606</v>
      </c>
      <c r="F42" s="30">
        <v>2.3164083109313371</v>
      </c>
      <c r="G42" s="29">
        <v>4524</v>
      </c>
      <c r="H42" s="32">
        <v>16.091954022988507</v>
      </c>
      <c r="I42" s="34" t="s">
        <v>1</v>
      </c>
      <c r="J42" s="35" t="s">
        <v>1</v>
      </c>
      <c r="K42" s="31">
        <v>6350</v>
      </c>
      <c r="L42" s="30">
        <v>13.984251968503935</v>
      </c>
      <c r="M42" s="36">
        <v>1269</v>
      </c>
      <c r="N42" s="37">
        <v>30.575256107171001</v>
      </c>
      <c r="O42" s="29">
        <v>17965</v>
      </c>
      <c r="P42" s="30">
        <v>7.5535763985527415</v>
      </c>
      <c r="Q42" s="34">
        <v>908.60280078635606</v>
      </c>
      <c r="R42" s="40">
        <v>36.410107072170696</v>
      </c>
    </row>
    <row r="43" spans="1:18" s="76" customFormat="1" ht="12.75" x14ac:dyDescent="0.2">
      <c r="A43" s="7" t="str">
        <f>VLOOKUP("&lt;Zeilentitel_29&gt;",Uebersetzungen!$B$3:$E$63,Uebersetzungen!$B$2+1,FALSE)</f>
        <v>Obwalden</v>
      </c>
      <c r="B43" s="115">
        <v>29887</v>
      </c>
      <c r="C43" s="29">
        <v>2167</v>
      </c>
      <c r="D43" s="30">
        <v>23.119520073834796</v>
      </c>
      <c r="E43" s="31">
        <v>22115</v>
      </c>
      <c r="F43" s="30">
        <v>3.8345014695907751</v>
      </c>
      <c r="G43" s="34">
        <v>822.73090000000002</v>
      </c>
      <c r="H43" s="37">
        <v>37.469007180841267</v>
      </c>
      <c r="I43" s="38" t="s">
        <v>1</v>
      </c>
      <c r="J43" s="30" t="s">
        <v>1</v>
      </c>
      <c r="K43" s="39">
        <v>824.92445999999995</v>
      </c>
      <c r="L43" s="35">
        <v>38.315694991029851</v>
      </c>
      <c r="M43" s="34">
        <v>218.54306</v>
      </c>
      <c r="N43" s="37">
        <v>73.212976884280835</v>
      </c>
      <c r="O43" s="29">
        <v>3616</v>
      </c>
      <c r="P43" s="30">
        <v>17.39491150442478</v>
      </c>
      <c r="Q43" s="34" t="s">
        <v>1</v>
      </c>
      <c r="R43" s="40" t="s">
        <v>1</v>
      </c>
    </row>
    <row r="44" spans="1:18" s="76" customFormat="1" ht="12.75" x14ac:dyDescent="0.2">
      <c r="A44" s="7" t="str">
        <f>VLOOKUP("&lt;Zeilentitel_30&gt;",Uebersetzungen!$B$3:$E$63,Uebersetzungen!$B$2+1,FALSE)</f>
        <v>Nidwalden</v>
      </c>
      <c r="B44" s="115">
        <v>35263</v>
      </c>
      <c r="C44" s="29">
        <v>3777</v>
      </c>
      <c r="D44" s="30">
        <v>16.33571617685994</v>
      </c>
      <c r="E44" s="31">
        <v>24271</v>
      </c>
      <c r="F44" s="30">
        <v>3.7699311936055371</v>
      </c>
      <c r="G44" s="34">
        <v>1114</v>
      </c>
      <c r="H44" s="37">
        <v>31.867145421903054</v>
      </c>
      <c r="I44" s="38" t="s">
        <v>1</v>
      </c>
      <c r="J44" s="30" t="s">
        <v>1</v>
      </c>
      <c r="K44" s="41">
        <v>782.27873999999997</v>
      </c>
      <c r="L44" s="35">
        <v>39.464355122318686</v>
      </c>
      <c r="M44" s="38" t="s">
        <v>1</v>
      </c>
      <c r="N44" s="32" t="s">
        <v>1</v>
      </c>
      <c r="O44" s="29">
        <v>4914</v>
      </c>
      <c r="P44" s="30">
        <v>14.428164428164427</v>
      </c>
      <c r="Q44" s="34">
        <v>334.5259780634243</v>
      </c>
      <c r="R44" s="40">
        <v>61.476252844423271</v>
      </c>
    </row>
    <row r="45" spans="1:18" s="76" customFormat="1" ht="12.75" x14ac:dyDescent="0.2">
      <c r="A45" s="7" t="str">
        <f>VLOOKUP("&lt;Zeilentitel_31&gt;",Uebersetzungen!$B$3:$E$63,Uebersetzungen!$B$2+1,FALSE)</f>
        <v>Zug</v>
      </c>
      <c r="B45" s="115">
        <v>96759</v>
      </c>
      <c r="C45" s="29">
        <v>13757</v>
      </c>
      <c r="D45" s="30">
        <v>5.9751399287635385</v>
      </c>
      <c r="E45" s="31">
        <v>52614</v>
      </c>
      <c r="F45" s="30">
        <v>2.2275439996958983</v>
      </c>
      <c r="G45" s="29">
        <v>5138</v>
      </c>
      <c r="H45" s="32">
        <v>10.509926041261192</v>
      </c>
      <c r="I45" s="34">
        <v>168.53997000000001</v>
      </c>
      <c r="J45" s="35">
        <v>60.318991394148199</v>
      </c>
      <c r="K45" s="31">
        <v>3960</v>
      </c>
      <c r="L45" s="30">
        <v>12.702020202020204</v>
      </c>
      <c r="M45" s="29">
        <v>1380</v>
      </c>
      <c r="N45" s="32">
        <v>20.797101449275363</v>
      </c>
      <c r="O45" s="29">
        <v>18974</v>
      </c>
      <c r="P45" s="30">
        <v>5.1122588805734166</v>
      </c>
      <c r="Q45" s="34">
        <v>767.51529583038064</v>
      </c>
      <c r="R45" s="40">
        <v>27.235565108781358</v>
      </c>
    </row>
    <row r="46" spans="1:18" s="76" customFormat="1" ht="13.5" thickBot="1" x14ac:dyDescent="0.25">
      <c r="A46" s="129" t="str">
        <f>VLOOKUP("&lt;Zeilentitel_32&gt;",Uebersetzungen!$B$3:$E$63,Uebersetzungen!$B$2+1,FALSE)</f>
        <v>Tessin</v>
      </c>
      <c r="B46" s="130">
        <v>288728</v>
      </c>
      <c r="C46" s="131">
        <v>12712</v>
      </c>
      <c r="D46" s="132">
        <v>6.5292636878539962</v>
      </c>
      <c r="E46" s="133">
        <v>199956</v>
      </c>
      <c r="F46" s="132">
        <v>0.94570805577226991</v>
      </c>
      <c r="G46" s="131">
        <v>14927</v>
      </c>
      <c r="H46" s="134">
        <v>6.1499296576673146</v>
      </c>
      <c r="I46" s="135">
        <v>409.52235999999999</v>
      </c>
      <c r="J46" s="136">
        <v>38.993643717036605</v>
      </c>
      <c r="K46" s="133">
        <v>5353</v>
      </c>
      <c r="L46" s="132">
        <v>10.648234634784233</v>
      </c>
      <c r="M46" s="131">
        <v>1619</v>
      </c>
      <c r="N46" s="134">
        <v>19.209388511426805</v>
      </c>
      <c r="O46" s="131">
        <v>48377</v>
      </c>
      <c r="P46" s="132">
        <v>3.1936664117245801</v>
      </c>
      <c r="Q46" s="131">
        <v>5375.0944000919508</v>
      </c>
      <c r="R46" s="137">
        <v>10.338494076211569</v>
      </c>
    </row>
    <row r="47" spans="1:18" s="76" customFormat="1" ht="12.75" x14ac:dyDescent="0.2">
      <c r="A47" s="8"/>
      <c r="B47" s="5"/>
      <c r="C47" s="9"/>
      <c r="D47" s="10"/>
      <c r="E47" s="10"/>
      <c r="F47" s="10"/>
      <c r="G47" s="11"/>
      <c r="H47" s="12"/>
      <c r="I47" s="11"/>
      <c r="J47" s="12"/>
      <c r="K47" s="11"/>
      <c r="L47" s="12"/>
      <c r="M47" s="11"/>
      <c r="N47" s="12"/>
      <c r="O47" s="11"/>
      <c r="P47" s="12"/>
      <c r="Q47" s="11"/>
      <c r="R47" s="12"/>
    </row>
    <row r="48" spans="1:18" s="76" customFormat="1" ht="12.75" x14ac:dyDescent="0.2">
      <c r="A48" s="16" t="str">
        <f>VLOOKUP("&lt;Legende_1&gt;",Uebersetzungen!$B$3:$E$63,Uebersetzungen!$B$2+1,FALSE)</f>
        <v xml:space="preserve">Ab 2010 stammen die Daten aus einer Stichprobenerhebung der ständigen Wohnbevölkerung ab vollendetem 15. Altersjahr, die in Privathaushalten lebt. </v>
      </c>
      <c r="B48" s="5"/>
      <c r="C48" s="9"/>
      <c r="D48" s="10"/>
      <c r="E48" s="10"/>
      <c r="F48" s="10"/>
      <c r="G48" s="11"/>
      <c r="H48" s="12"/>
      <c r="I48" s="11"/>
      <c r="J48" s="12"/>
      <c r="K48" s="11"/>
      <c r="L48" s="12"/>
      <c r="M48" s="11"/>
      <c r="N48" s="12"/>
      <c r="O48" s="11"/>
      <c r="P48" s="12"/>
      <c r="Q48" s="11"/>
      <c r="R48" s="12"/>
    </row>
    <row r="49" spans="1:18" s="76" customFormat="1" ht="12.75" x14ac:dyDescent="0.2">
      <c r="A49" s="16" t="str">
        <f>VLOOKUP("&lt;Legende_2&gt;",Uebersetzungen!$B$3:$E$63,Uebersetzungen!$B$2+1,FALSE)</f>
        <v>Nicht befragt wurden Diplomaten, internationale Funktionäre und deren Familienangehörige. Diese Daten sind mit jenen der frühreren Jahre nicht direkt vergleichbar.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s="76" customFormat="1" ht="12.75" x14ac:dyDescent="0.2">
      <c r="A50" s="16" t="str">
        <f>VLOOKUP("&lt;Legende_3&gt;",Uebersetzungen!$B$3:$E$63,Uebersetzungen!$B$2+1,FALSE)</f>
        <v>Das Vertrauensintervall zeigt die Genauigkeit der Resultate einer Stichprobenerhebung.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1:18" s="76" customFormat="1" ht="12.75" x14ac:dyDescent="0.2">
      <c r="A51" s="16" t="str">
        <f>VLOOKUP("&lt;Legende_4&gt;",Uebersetzungen!$B$3:$E$63,Uebersetzungen!$B$2+1,FALSE)</f>
        <v>(): Extrapolation aufgrund von 49 oder weniger Beobachtungen. Die Resultate sind mit grosser Vorsicht zu interpretieren.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s="76" customFormat="1" ht="12.75" x14ac:dyDescent="0.2">
      <c r="A52" s="13" t="str">
        <f>VLOOKUP("&lt;Legende_5&gt;",Uebersetzungen!$B$3:$E$63,Uebersetzungen!$B$2+1,FALSE)</f>
        <v>X: Extrapolation aufgrund von 4 oder weniger Beobachtungen. Die Resultate werden aus Gründen des Datenschutzes nicht publiziert.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s="76" customFormat="1" ht="12.75" x14ac:dyDescent="0.2">
      <c r="A53" s="13" t="str">
        <f>VLOOKUP("&lt;Legende_6&gt;",Uebersetzungen!$B$3:$E$63,Uebersetzungen!$B$2+1,FALSE)</f>
        <v>* inkl. andere aus dem Islam hervorgegangene Gemeinschaften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 s="76" customFormat="1" ht="12.75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18" s="76" customFormat="1" ht="12.75" x14ac:dyDescent="0.2">
      <c r="A55" s="16" t="str">
        <f>VLOOKUP("&lt;quelle_1&gt;",Uebersetzungen!$B$3:$E$63,Uebersetzungen!$B$2+1,FALSE)</f>
        <v>Quelle: BFS (Strukturerhebung)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8" s="76" customFormat="1" ht="12.75" x14ac:dyDescent="0.2">
      <c r="A56" s="13" t="str">
        <f>VLOOKUP("&lt;aktualisierung&gt;",Uebersetzungen!$B$3:$E$213,Uebersetzungen!$B$2+1,FALSE)</f>
        <v>Letztmals aktualisiert am: 29.01.2026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</sheetData>
  <sheetProtection sheet="1" objects="1" scenarios="1"/>
  <mergeCells count="11">
    <mergeCell ref="Q13:R13"/>
    <mergeCell ref="A7:D7"/>
    <mergeCell ref="B12:R12"/>
    <mergeCell ref="B13:B14"/>
    <mergeCell ref="C13:D13"/>
    <mergeCell ref="E13:F13"/>
    <mergeCell ref="G13:H13"/>
    <mergeCell ref="I13:J13"/>
    <mergeCell ref="K13:L13"/>
    <mergeCell ref="M13:N13"/>
    <mergeCell ref="O13:P13"/>
  </mergeCells>
  <pageMargins left="0.7" right="0.7" top="0.75" bottom="0.75" header="0.3" footer="0.3"/>
  <pageSetup paperSize="9" orientation="portrait" r:id="rId1"/>
  <ignoredErrors>
    <ignoredError sqref="D14 F14 H14 J14 L14 N14 P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Option Button 1">
              <controlPr defaultSize="0" autoFill="0" autoLine="0" autoPict="0">
                <anchor moveWithCells="1">
                  <from>
                    <xdr:col>6</xdr:col>
                    <xdr:colOff>295275</xdr:colOff>
                    <xdr:row>1</xdr:row>
                    <xdr:rowOff>114300</xdr:rowOff>
                  </from>
                  <to>
                    <xdr:col>7</xdr:col>
                    <xdr:colOff>695325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5" name="Option Button 2">
              <controlPr defaultSize="0" autoFill="0" autoLine="0" autoPict="0">
                <anchor moveWithCells="1">
                  <from>
                    <xdr:col>6</xdr:col>
                    <xdr:colOff>295275</xdr:colOff>
                    <xdr:row>2</xdr:row>
                    <xdr:rowOff>104775</xdr:rowOff>
                  </from>
                  <to>
                    <xdr:col>8</xdr:col>
                    <xdr:colOff>276225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6" name="Option Button 3">
              <controlPr defaultSize="0" autoFill="0" autoLine="0" autoPict="0">
                <anchor moveWithCells="1">
                  <from>
                    <xdr:col>6</xdr:col>
                    <xdr:colOff>295275</xdr:colOff>
                    <xdr:row>3</xdr:row>
                    <xdr:rowOff>66675</xdr:rowOff>
                  </from>
                  <to>
                    <xdr:col>7</xdr:col>
                    <xdr:colOff>695325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56"/>
  <sheetViews>
    <sheetView showGridLines="0" workbookViewId="0"/>
  </sheetViews>
  <sheetFormatPr baseColWidth="10" defaultColWidth="9.140625" defaultRowHeight="14.25" x14ac:dyDescent="0.2"/>
  <cols>
    <col min="1" max="1" width="22.7109375" style="53" customWidth="1"/>
    <col min="2" max="2" width="9.140625" style="53" customWidth="1"/>
    <col min="3" max="18" width="12.42578125" style="53" customWidth="1"/>
    <col min="19" max="16384" width="9.140625" style="77"/>
  </cols>
  <sheetData>
    <row r="1" spans="1:18" s="75" customFormat="1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75" customFormat="1" ht="15.75" x14ac:dyDescent="0.25">
      <c r="A2" s="1"/>
      <c r="B2" s="15"/>
      <c r="C2" s="53"/>
      <c r="D2" s="5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75" customFormat="1" ht="15.75" x14ac:dyDescent="0.25">
      <c r="A3" s="1"/>
      <c r="B3" s="15"/>
      <c r="C3" s="53"/>
      <c r="D3" s="5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s="75" customFormat="1" ht="15.75" x14ac:dyDescent="0.25">
      <c r="A4" s="1"/>
      <c r="B4" s="15"/>
      <c r="C4" s="53"/>
      <c r="D4" s="5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75" customFormat="1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s="75" customFormat="1" ht="12.7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s="75" customFormat="1" ht="15.75" customHeight="1" x14ac:dyDescent="0.2">
      <c r="A7" s="146" t="str">
        <f>VLOOKUP("&lt;Fachbereich&gt;",Uebersetzungen!$B$3:$E$63,Uebersetzungen!$B$2+1,FALSE)</f>
        <v>Daten &amp; Statistik</v>
      </c>
      <c r="B7" s="146"/>
      <c r="C7" s="146"/>
      <c r="D7" s="146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</row>
    <row r="8" spans="1:18" s="75" customFormat="1" ht="12.7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s="76" customFormat="1" ht="18" x14ac:dyDescent="0.2">
      <c r="A9" s="19" t="str">
        <f>VLOOKUP("&lt;Titel&gt;",Uebersetzungen!$B$3:$E$63,Uebersetzungen!$B$2+1,FALSE)</f>
        <v>Religionszugehörigkeit nach Kanton</v>
      </c>
      <c r="B9" s="54"/>
      <c r="C9" s="55"/>
      <c r="D9" s="55"/>
      <c r="E9" s="55"/>
      <c r="F9" s="55"/>
      <c r="G9" s="55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s="76" customFormat="1" ht="12.75" x14ac:dyDescent="0.2">
      <c r="A10" s="20" t="str">
        <f>VLOOKUP("&lt;UTitel&gt;",Uebersetzungen!$B$3:$E$63,Uebersetzungen!$B$2+1,FALSE)</f>
        <v>Ständige Wohnbevölkerung ab 15 Jahren</v>
      </c>
      <c r="B10" s="54"/>
      <c r="C10" s="55"/>
      <c r="D10" s="55"/>
      <c r="E10" s="55"/>
      <c r="F10" s="55"/>
      <c r="G10" s="5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8.75" thickBot="1" x14ac:dyDescent="0.3">
      <c r="B11" s="17"/>
      <c r="C11" s="18"/>
      <c r="D11" s="4"/>
      <c r="E11" s="4"/>
      <c r="F11" s="4"/>
      <c r="G11" s="4"/>
      <c r="H11" s="4"/>
      <c r="I11" s="4"/>
      <c r="J11" s="4"/>
    </row>
    <row r="12" spans="1:18" s="78" customFormat="1" ht="18" x14ac:dyDescent="0.25">
      <c r="A12" s="3"/>
      <c r="B12" s="158">
        <v>2011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60"/>
    </row>
    <row r="13" spans="1:18" s="78" customFormat="1" ht="37.5" customHeight="1" x14ac:dyDescent="0.25">
      <c r="A13" s="3"/>
      <c r="B13" s="157" t="str">
        <f>VLOOKUP("&lt;SpaltenTitel_1&gt;",Uebersetzungen!$B$3:$E$63,Uebersetzungen!$B$2+1,FALSE)</f>
        <v>Total</v>
      </c>
      <c r="C13" s="152" t="str">
        <f>VLOOKUP("&lt;SpaltenTitel_2&gt;",Uebersetzungen!$B$3:$E$63,Uebersetzungen!$B$2+1,FALSE)</f>
        <v>Evangelisch-reformiert</v>
      </c>
      <c r="D13" s="152"/>
      <c r="E13" s="152" t="str">
        <f>VLOOKUP("&lt;SpaltenTitel_3&gt;",Uebersetzungen!$B$3:$E$63,Uebersetzungen!$B$2+1,FALSE)</f>
        <v>Römisch-katholisch</v>
      </c>
      <c r="F13" s="152"/>
      <c r="G13" s="152" t="str">
        <f>VLOOKUP("&lt;SpaltenTitel_4&gt;",Uebersetzungen!$B$3:$E$63,Uebersetzungen!$B$2+1,FALSE)</f>
        <v>Andere christliche Glaubensgemeinschaften</v>
      </c>
      <c r="H13" s="152"/>
      <c r="I13" s="152" t="str">
        <f>VLOOKUP("&lt;SpaltenTitel_5&gt;",Uebersetzungen!$B$3:$E$63,Uebersetzungen!$B$2+1,FALSE)</f>
        <v>Jüdische Glaubensgemeinschaften</v>
      </c>
      <c r="J13" s="152"/>
      <c r="K13" s="152" t="str">
        <f>VLOOKUP("&lt;SpaltenTitel_6&gt;",Uebersetzungen!$B$3:$E$63,Uebersetzungen!$B$2+1,FALSE)</f>
        <v>Islamische Glaubensgem.*</v>
      </c>
      <c r="L13" s="152"/>
      <c r="M13" s="152" t="str">
        <f>VLOOKUP("&lt;SpaltenTitel_7&gt;",Uebersetzungen!$B$3:$E$63,Uebersetzungen!$B$2+1,FALSE)</f>
        <v>Andere Religionsgemeinschaften</v>
      </c>
      <c r="N13" s="152"/>
      <c r="O13" s="152" t="str">
        <f>VLOOKUP("&lt;SpaltenTitel_8&gt;",Uebersetzungen!$B$3:$E$63,Uebersetzungen!$B$2+1,FALSE)</f>
        <v>Ohne Religionszugehörigkeit</v>
      </c>
      <c r="P13" s="152"/>
      <c r="Q13" s="152" t="str">
        <f>VLOOKUP("&lt;SpaltenTitel_9&gt;",Uebersetzungen!$B$3:$E$63,Uebersetzungen!$B$2+1,FALSE)</f>
        <v>Religionszugehörigkeit unbekannt</v>
      </c>
      <c r="R13" s="153"/>
    </row>
    <row r="14" spans="1:18" s="78" customFormat="1" ht="39" thickBot="1" x14ac:dyDescent="0.3">
      <c r="A14" s="6"/>
      <c r="B14" s="151"/>
      <c r="C14" s="112" t="str">
        <f>VLOOKUP("&lt;SpaltenTitel_2.1&gt;",Uebersetzungen!$B$3:$E$63,Uebersetzungen!$B$2+1,FALSE)</f>
        <v>Anzahl Personen</v>
      </c>
      <c r="D14" s="112" t="str">
        <f>VLOOKUP("&lt;SpaltenTitel_2.2&gt;",Uebersetzungen!$B$3:$E$63,Uebersetzungen!$B$2+1,FALSE)</f>
        <v>Vertrauens- intervall:          ± (in %)</v>
      </c>
      <c r="E14" s="112" t="str">
        <f>VLOOKUP("&lt;SpaltenTitel_2.1&gt;",Uebersetzungen!$B$3:$E$63,Uebersetzungen!$B$2+1,FALSE)</f>
        <v>Anzahl Personen</v>
      </c>
      <c r="F14" s="112" t="str">
        <f>VLOOKUP("&lt;SpaltenTitel_2.2&gt;",Uebersetzungen!$B$3:$E$63,Uebersetzungen!$B$2+1,FALSE)</f>
        <v>Vertrauens- intervall:          ± (in %)</v>
      </c>
      <c r="G14" s="112" t="str">
        <f>VLOOKUP("&lt;SpaltenTitel_2.1&gt;",Uebersetzungen!$B$3:$E$63,Uebersetzungen!$B$2+1,FALSE)</f>
        <v>Anzahl Personen</v>
      </c>
      <c r="H14" s="112" t="str">
        <f>VLOOKUP("&lt;SpaltenTitel_2.2&gt;",Uebersetzungen!$B$3:$E$63,Uebersetzungen!$B$2+1,FALSE)</f>
        <v>Vertrauens- intervall:          ± (in %)</v>
      </c>
      <c r="I14" s="112" t="str">
        <f>VLOOKUP("&lt;SpaltenTitel_2.1&gt;",Uebersetzungen!$B$3:$E$63,Uebersetzungen!$B$2+1,FALSE)</f>
        <v>Anzahl Personen</v>
      </c>
      <c r="J14" s="112" t="str">
        <f>VLOOKUP("&lt;SpaltenTitel_2.2&gt;",Uebersetzungen!$B$3:$E$63,Uebersetzungen!$B$2+1,FALSE)</f>
        <v>Vertrauens- intervall:          ± (in %)</v>
      </c>
      <c r="K14" s="112" t="str">
        <f>VLOOKUP("&lt;SpaltenTitel_2.1&gt;",Uebersetzungen!$B$3:$E$63,Uebersetzungen!$B$2+1,FALSE)</f>
        <v>Anzahl Personen</v>
      </c>
      <c r="L14" s="112" t="str">
        <f>VLOOKUP("&lt;SpaltenTitel_2.2&gt;",Uebersetzungen!$B$3:$E$63,Uebersetzungen!$B$2+1,FALSE)</f>
        <v>Vertrauens- intervall:          ± (in %)</v>
      </c>
      <c r="M14" s="112" t="str">
        <f>VLOOKUP("&lt;SpaltenTitel_2.1&gt;",Uebersetzungen!$B$3:$E$63,Uebersetzungen!$B$2+1,FALSE)</f>
        <v>Anzahl Personen</v>
      </c>
      <c r="N14" s="112" t="str">
        <f>VLOOKUP("&lt;SpaltenTitel_2.2&gt;",Uebersetzungen!$B$3:$E$63,Uebersetzungen!$B$2+1,FALSE)</f>
        <v>Vertrauens- intervall:          ± (in %)</v>
      </c>
      <c r="O14" s="112" t="str">
        <f>VLOOKUP("&lt;SpaltenTitel_2.1&gt;",Uebersetzungen!$B$3:$E$63,Uebersetzungen!$B$2+1,FALSE)</f>
        <v>Anzahl Personen</v>
      </c>
      <c r="P14" s="112" t="str">
        <f>VLOOKUP("&lt;SpaltenTitel_2.2&gt;",Uebersetzungen!$B$3:$E$63,Uebersetzungen!$B$2+1,FALSE)</f>
        <v>Vertrauens- intervall:          ± (in %)</v>
      </c>
      <c r="Q14" s="112" t="str">
        <f>VLOOKUP("&lt;SpaltenTitel_2.1&gt;",Uebersetzungen!$B$3:$E$63,Uebersetzungen!$B$2+1,FALSE)</f>
        <v>Anzahl Personen</v>
      </c>
      <c r="R14" s="113" t="str">
        <f>VLOOKUP("&lt;SpaltenTitel_2.2&gt;",Uebersetzungen!$B$3:$E$63,Uebersetzungen!$B$2+1,FALSE)</f>
        <v>Vertrauens- intervall:          ± (in %)</v>
      </c>
    </row>
    <row r="15" spans="1:18" s="76" customFormat="1" ht="12.75" x14ac:dyDescent="0.2">
      <c r="A15" s="14" t="str">
        <f>VLOOKUP("&lt;Zeilentitel_1&gt;",Uebersetzungen!$B$3:$E$63,Uebersetzungen!$B$2+1,FALSE)</f>
        <v>Total</v>
      </c>
      <c r="B15" s="28">
        <v>6587556</v>
      </c>
      <c r="C15" s="108">
        <v>1830143</v>
      </c>
      <c r="D15" s="119">
        <v>0.55924366138537696</v>
      </c>
      <c r="E15" s="120">
        <v>2532217</v>
      </c>
      <c r="F15" s="119">
        <v>0.43674063159720411</v>
      </c>
      <c r="G15" s="109">
        <v>368698</v>
      </c>
      <c r="H15" s="121">
        <v>1.5697748020198896</v>
      </c>
      <c r="I15" s="109">
        <v>16763</v>
      </c>
      <c r="J15" s="119">
        <v>7.5344508739485772</v>
      </c>
      <c r="K15" s="110">
        <v>320958</v>
      </c>
      <c r="L15" s="119">
        <v>1.8350360719139414</v>
      </c>
      <c r="M15" s="109">
        <v>80758</v>
      </c>
      <c r="N15" s="121">
        <v>3.6284667855732708</v>
      </c>
      <c r="O15" s="108">
        <v>1356795</v>
      </c>
      <c r="P15" s="119">
        <v>0.72690955015599534</v>
      </c>
      <c r="Q15" s="109">
        <v>81224.095795332163</v>
      </c>
      <c r="R15" s="122">
        <v>3.3033826422641077</v>
      </c>
    </row>
    <row r="16" spans="1:18" s="76" customFormat="1" ht="12.75" x14ac:dyDescent="0.2">
      <c r="A16" s="56" t="str">
        <f>VLOOKUP("&lt;Zeilentitel_2&gt;",Uebersetzungen!$B$3:$E$63,Uebersetzungen!$B$2+1,FALSE)</f>
        <v>Genferseeregion</v>
      </c>
      <c r="B16" s="114">
        <v>1201069</v>
      </c>
      <c r="C16" s="57">
        <v>220840</v>
      </c>
      <c r="D16" s="58">
        <v>1.4737828133015143</v>
      </c>
      <c r="E16" s="59">
        <v>508541</v>
      </c>
      <c r="F16" s="58">
        <v>0.84339315807378368</v>
      </c>
      <c r="G16" s="57">
        <v>62289</v>
      </c>
      <c r="H16" s="60">
        <v>3.2670294915635183</v>
      </c>
      <c r="I16" s="57">
        <v>6310</v>
      </c>
      <c r="J16" s="58">
        <v>10</v>
      </c>
      <c r="K16" s="59">
        <v>55106</v>
      </c>
      <c r="L16" s="58">
        <v>3.6239247994773711</v>
      </c>
      <c r="M16" s="57">
        <v>14513</v>
      </c>
      <c r="N16" s="60">
        <v>6.8628126507269354</v>
      </c>
      <c r="O16" s="57">
        <v>306411</v>
      </c>
      <c r="P16" s="58">
        <v>1.2669257957449309</v>
      </c>
      <c r="Q16" s="57">
        <v>27059.182296108269</v>
      </c>
      <c r="R16" s="61">
        <v>4.9586473364985881</v>
      </c>
    </row>
    <row r="17" spans="1:18" s="76" customFormat="1" ht="12.75" x14ac:dyDescent="0.2">
      <c r="A17" s="7" t="str">
        <f>VLOOKUP("&lt;Zeilentitel_3&gt;",Uebersetzungen!$B$3:$E$63,Uebersetzungen!$B$2+1,FALSE)</f>
        <v>Waadt</v>
      </c>
      <c r="B17" s="115">
        <v>585680</v>
      </c>
      <c r="C17" s="29">
        <v>167555</v>
      </c>
      <c r="D17" s="30">
        <v>1.5397929038226255</v>
      </c>
      <c r="E17" s="31">
        <v>181218</v>
      </c>
      <c r="F17" s="30">
        <v>1.5103356178746041</v>
      </c>
      <c r="G17" s="29">
        <v>35499</v>
      </c>
      <c r="H17" s="32">
        <v>3.9888447561903151</v>
      </c>
      <c r="I17" s="29">
        <v>2022</v>
      </c>
      <c r="J17" s="30">
        <v>16.913946587537094</v>
      </c>
      <c r="K17" s="31">
        <v>26448</v>
      </c>
      <c r="L17" s="30">
        <v>4.8737144585601939</v>
      </c>
      <c r="M17" s="29">
        <v>7922</v>
      </c>
      <c r="N17" s="32">
        <v>8.7604140368593786</v>
      </c>
      <c r="O17" s="29">
        <v>152501</v>
      </c>
      <c r="P17" s="30">
        <v>1.7094969869050038</v>
      </c>
      <c r="Q17" s="29">
        <v>12514.296995101455</v>
      </c>
      <c r="R17" s="33">
        <v>6.7767681279827325</v>
      </c>
    </row>
    <row r="18" spans="1:18" s="76" customFormat="1" ht="12.75" x14ac:dyDescent="0.2">
      <c r="A18" s="7" t="str">
        <f>VLOOKUP("&lt;Zeilentitel_4&gt;",Uebersetzungen!$B$3:$E$63,Uebersetzungen!$B$2+1,FALSE)</f>
        <v>Wallis</v>
      </c>
      <c r="B18" s="115">
        <v>263442</v>
      </c>
      <c r="C18" s="29">
        <v>14668</v>
      </c>
      <c r="D18" s="30">
        <v>8.7878374693209711</v>
      </c>
      <c r="E18" s="31">
        <v>198650</v>
      </c>
      <c r="F18" s="30">
        <v>1.2262773722627736</v>
      </c>
      <c r="G18" s="29">
        <v>7899</v>
      </c>
      <c r="H18" s="32">
        <v>12.697809849348019</v>
      </c>
      <c r="I18" s="34">
        <v>356.87754000000001</v>
      </c>
      <c r="J18" s="35">
        <v>59.236263509325916</v>
      </c>
      <c r="K18" s="31">
        <v>7660</v>
      </c>
      <c r="L18" s="30">
        <v>13.25065274151436</v>
      </c>
      <c r="M18" s="36">
        <v>1413</v>
      </c>
      <c r="N18" s="37">
        <v>30.360934182590231</v>
      </c>
      <c r="O18" s="29">
        <v>29087</v>
      </c>
      <c r="P18" s="30">
        <v>6.2708426444803527</v>
      </c>
      <c r="Q18" s="29">
        <v>3708.7674503079388</v>
      </c>
      <c r="R18" s="33">
        <v>18.043343964741343</v>
      </c>
    </row>
    <row r="19" spans="1:18" s="76" customFormat="1" ht="12.75" x14ac:dyDescent="0.2">
      <c r="A19" s="7" t="str">
        <f>VLOOKUP("&lt;Zeilentitel_5&gt;",Uebersetzungen!$B$3:$E$63,Uebersetzungen!$B$2+1,FALSE)</f>
        <v>Genf</v>
      </c>
      <c r="B19" s="115">
        <v>351947</v>
      </c>
      <c r="C19" s="29">
        <v>38617</v>
      </c>
      <c r="D19" s="30">
        <v>3.6486521480177121</v>
      </c>
      <c r="E19" s="31">
        <v>128673</v>
      </c>
      <c r="F19" s="30">
        <v>1.7377382978558051</v>
      </c>
      <c r="G19" s="29">
        <v>18892</v>
      </c>
      <c r="H19" s="32">
        <v>5.6161338132542875</v>
      </c>
      <c r="I19" s="29">
        <v>3930</v>
      </c>
      <c r="J19" s="30">
        <v>12.391857506361323</v>
      </c>
      <c r="K19" s="31">
        <v>20998</v>
      </c>
      <c r="L19" s="30">
        <v>5.4195637679779027</v>
      </c>
      <c r="M19" s="29">
        <v>5178</v>
      </c>
      <c r="N19" s="32">
        <v>11.046736191579761</v>
      </c>
      <c r="O19" s="29">
        <v>124823</v>
      </c>
      <c r="P19" s="30">
        <v>1.7865297260921464</v>
      </c>
      <c r="Q19" s="29">
        <v>10836.117850698873</v>
      </c>
      <c r="R19" s="33">
        <v>7.3450174208043935</v>
      </c>
    </row>
    <row r="20" spans="1:18" s="76" customFormat="1" ht="12.75" x14ac:dyDescent="0.2">
      <c r="A20" s="56" t="str">
        <f>VLOOKUP("&lt;Zeilentitel_6&gt;",Uebersetzungen!$B$3:$E$63,Uebersetzungen!$B$2+1,FALSE)</f>
        <v>Espace Mittelland</v>
      </c>
      <c r="B20" s="114">
        <v>1475083</v>
      </c>
      <c r="C20" s="57">
        <v>595457</v>
      </c>
      <c r="D20" s="58">
        <v>0.91083283399178705</v>
      </c>
      <c r="E20" s="59">
        <v>435560</v>
      </c>
      <c r="F20" s="58">
        <v>1.1805935976851656</v>
      </c>
      <c r="G20" s="57">
        <v>81458</v>
      </c>
      <c r="H20" s="60">
        <v>3.578531267647131</v>
      </c>
      <c r="I20" s="62">
        <v>1280</v>
      </c>
      <c r="J20" s="63">
        <v>29.6875</v>
      </c>
      <c r="K20" s="59">
        <v>56780</v>
      </c>
      <c r="L20" s="58">
        <v>4.6636139485734409</v>
      </c>
      <c r="M20" s="57">
        <v>17739</v>
      </c>
      <c r="N20" s="60">
        <v>8.2248153785444504</v>
      </c>
      <c r="O20" s="57">
        <v>269171</v>
      </c>
      <c r="P20" s="58">
        <v>1.7739652488566748</v>
      </c>
      <c r="Q20" s="57">
        <v>17638.464130912074</v>
      </c>
      <c r="R20" s="61">
        <v>7.6815311195067659</v>
      </c>
    </row>
    <row r="21" spans="1:18" s="76" customFormat="1" ht="12.75" x14ac:dyDescent="0.2">
      <c r="A21" s="7" t="str">
        <f>VLOOKUP("&lt;Zeilentitel_7&gt;",Uebersetzungen!$B$3:$E$63,Uebersetzungen!$B$2+1,FALSE)</f>
        <v>Bern</v>
      </c>
      <c r="B21" s="115">
        <v>828793</v>
      </c>
      <c r="C21" s="29">
        <v>469802</v>
      </c>
      <c r="D21" s="30">
        <v>1.010425668685957</v>
      </c>
      <c r="E21" s="31">
        <v>132340</v>
      </c>
      <c r="F21" s="30">
        <v>2.7</v>
      </c>
      <c r="G21" s="29">
        <v>53672</v>
      </c>
      <c r="H21" s="32">
        <v>4.4995528394693691</v>
      </c>
      <c r="I21" s="34">
        <v>958.64036999999996</v>
      </c>
      <c r="J21" s="35">
        <v>35.40009795331278</v>
      </c>
      <c r="K21" s="31">
        <v>27914</v>
      </c>
      <c r="L21" s="30">
        <v>6.9069284230135422</v>
      </c>
      <c r="M21" s="29">
        <v>11297</v>
      </c>
      <c r="N21" s="32">
        <v>10.524918119854828</v>
      </c>
      <c r="O21" s="29">
        <v>124502</v>
      </c>
      <c r="P21" s="30">
        <v>2.8529662174101618</v>
      </c>
      <c r="Q21" s="29">
        <v>8306.9613761369092</v>
      </c>
      <c r="R21" s="33">
        <v>11.92450970133504</v>
      </c>
    </row>
    <row r="22" spans="1:18" s="76" customFormat="1" ht="12.75" x14ac:dyDescent="0.2">
      <c r="A22" s="7" t="str">
        <f>VLOOKUP("&lt;Zeilentitel_8&gt;",Uebersetzungen!$B$3:$E$63,Uebersetzungen!$B$2+1,FALSE)</f>
        <v>Freiburg</v>
      </c>
      <c r="B22" s="115">
        <v>229644</v>
      </c>
      <c r="C22" s="29">
        <v>30281</v>
      </c>
      <c r="D22" s="30">
        <v>5.703246260031043</v>
      </c>
      <c r="E22" s="31">
        <v>146999</v>
      </c>
      <c r="F22" s="30">
        <v>1.6836849230266873</v>
      </c>
      <c r="G22" s="29">
        <v>8211</v>
      </c>
      <c r="H22" s="32">
        <v>11.947387650712459</v>
      </c>
      <c r="I22" s="34" t="s">
        <v>1</v>
      </c>
      <c r="J22" s="35" t="s">
        <v>1</v>
      </c>
      <c r="K22" s="31">
        <v>8843</v>
      </c>
      <c r="L22" s="30">
        <v>12.099966074861472</v>
      </c>
      <c r="M22" s="29">
        <v>1644</v>
      </c>
      <c r="N22" s="32">
        <v>27.615571776155718</v>
      </c>
      <c r="O22" s="29">
        <v>30218</v>
      </c>
      <c r="P22" s="30">
        <v>5.8706731087431328</v>
      </c>
      <c r="Q22" s="29">
        <v>3313.4995679796239</v>
      </c>
      <c r="R22" s="33">
        <v>18.648340088503826</v>
      </c>
    </row>
    <row r="23" spans="1:18" s="76" customFormat="1" ht="12.75" x14ac:dyDescent="0.2">
      <c r="A23" s="7" t="str">
        <f>VLOOKUP("&lt;Zeilentitel_9&gt;",Uebersetzungen!$B$3:$E$63,Uebersetzungen!$B$2+1,FALSE)</f>
        <v>Solothurn</v>
      </c>
      <c r="B23" s="115">
        <v>216599</v>
      </c>
      <c r="C23" s="29">
        <v>53275</v>
      </c>
      <c r="D23" s="30">
        <v>4.0600656968559363</v>
      </c>
      <c r="E23" s="31">
        <v>81371</v>
      </c>
      <c r="F23" s="30">
        <v>3.0096717503778989</v>
      </c>
      <c r="G23" s="29">
        <v>9961</v>
      </c>
      <c r="H23" s="32">
        <v>10.892480674631061</v>
      </c>
      <c r="I23" s="38" t="s">
        <v>1</v>
      </c>
      <c r="J23" s="30" t="s">
        <v>1</v>
      </c>
      <c r="K23" s="31">
        <v>13165</v>
      </c>
      <c r="L23" s="30">
        <v>9.9810102544625892</v>
      </c>
      <c r="M23" s="29">
        <v>3116</v>
      </c>
      <c r="N23" s="32">
        <v>20.442875481386395</v>
      </c>
      <c r="O23" s="29">
        <v>53835</v>
      </c>
      <c r="P23" s="30">
        <v>4.0568403455001389</v>
      </c>
      <c r="Q23" s="29">
        <v>1844.540300235305</v>
      </c>
      <c r="R23" s="33">
        <v>26.473982799892276</v>
      </c>
    </row>
    <row r="24" spans="1:18" s="76" customFormat="1" ht="12.75" x14ac:dyDescent="0.2">
      <c r="A24" s="7" t="str">
        <f>VLOOKUP("&lt;Zeilentitel_10&gt;",Uebersetzungen!$B$3:$E$63,Uebersetzungen!$B$2+1,FALSE)</f>
        <v>Neuenburg</v>
      </c>
      <c r="B24" s="115">
        <v>142090</v>
      </c>
      <c r="C24" s="29">
        <v>35709</v>
      </c>
      <c r="D24" s="30">
        <v>3.391301912683077</v>
      </c>
      <c r="E24" s="31">
        <v>34959</v>
      </c>
      <c r="F24" s="30">
        <v>3.4983838210475127</v>
      </c>
      <c r="G24" s="29">
        <v>7052</v>
      </c>
      <c r="H24" s="32">
        <v>8.8343732274532041</v>
      </c>
      <c r="I24" s="34">
        <v>137.67749000000001</v>
      </c>
      <c r="J24" s="35">
        <v>63.289176756490839</v>
      </c>
      <c r="K24" s="31">
        <v>5524</v>
      </c>
      <c r="L24" s="30">
        <v>10.572049239681389</v>
      </c>
      <c r="M24" s="29">
        <v>1372</v>
      </c>
      <c r="N24" s="32">
        <v>21.282798833819243</v>
      </c>
      <c r="O24" s="29">
        <v>54118</v>
      </c>
      <c r="P24" s="30">
        <v>2.5869396503935844</v>
      </c>
      <c r="Q24" s="29">
        <v>3218.7581797453681</v>
      </c>
      <c r="R24" s="33">
        <v>13.19071210416805</v>
      </c>
    </row>
    <row r="25" spans="1:18" s="76" customFormat="1" ht="12.75" x14ac:dyDescent="0.2">
      <c r="A25" s="7" t="str">
        <f>VLOOKUP("&lt;Zeilentitel_11&gt;",Uebersetzungen!$B$3:$E$63,Uebersetzungen!$B$2+1,FALSE)</f>
        <v>Jura</v>
      </c>
      <c r="B25" s="115">
        <v>57957</v>
      </c>
      <c r="C25" s="29">
        <v>6391</v>
      </c>
      <c r="D25" s="30">
        <v>8.8092630261304947</v>
      </c>
      <c r="E25" s="31">
        <v>39890</v>
      </c>
      <c r="F25" s="30">
        <v>2.0671899846033468</v>
      </c>
      <c r="G25" s="29">
        <v>2562</v>
      </c>
      <c r="H25" s="32">
        <v>14.441842310694769</v>
      </c>
      <c r="I25" s="38" t="s">
        <v>1</v>
      </c>
      <c r="J25" s="30" t="s">
        <v>1</v>
      </c>
      <c r="K25" s="39">
        <v>1335</v>
      </c>
      <c r="L25" s="35">
        <v>21.573033707865168</v>
      </c>
      <c r="M25" s="34">
        <v>310.00371999999999</v>
      </c>
      <c r="N25" s="37">
        <v>42.383878490232327</v>
      </c>
      <c r="O25" s="29">
        <v>6497</v>
      </c>
      <c r="P25" s="30">
        <v>8.7732799753732493</v>
      </c>
      <c r="Q25" s="34">
        <v>954.70470681486631</v>
      </c>
      <c r="R25" s="40">
        <v>24.353894782568698</v>
      </c>
    </row>
    <row r="26" spans="1:18" s="76" customFormat="1" ht="12.75" x14ac:dyDescent="0.2">
      <c r="A26" s="56" t="str">
        <f>VLOOKUP("&lt;Zeilentitel_12&gt;",Uebersetzungen!$B$3:$E$63,Uebersetzungen!$B$2+1,FALSE)</f>
        <v>Nordwestschweiz</v>
      </c>
      <c r="B26" s="116">
        <v>907764</v>
      </c>
      <c r="C26" s="57">
        <v>255151</v>
      </c>
      <c r="D26" s="58">
        <v>1.4856706925475145</v>
      </c>
      <c r="E26" s="59">
        <v>280687</v>
      </c>
      <c r="F26" s="58">
        <v>1.3967942077891566</v>
      </c>
      <c r="G26" s="57">
        <v>54409</v>
      </c>
      <c r="H26" s="60">
        <v>3.8394383282177582</v>
      </c>
      <c r="I26" s="57">
        <v>2250</v>
      </c>
      <c r="J26" s="58">
        <v>22.977777777777778</v>
      </c>
      <c r="K26" s="59">
        <v>57943</v>
      </c>
      <c r="L26" s="58">
        <v>4.0022090675318847</v>
      </c>
      <c r="M26" s="57">
        <v>12374</v>
      </c>
      <c r="N26" s="60">
        <v>8.8815257798609988</v>
      </c>
      <c r="O26" s="57">
        <v>236175</v>
      </c>
      <c r="P26" s="58">
        <v>1.6898220071907319</v>
      </c>
      <c r="Q26" s="57">
        <v>8775.3702979802038</v>
      </c>
      <c r="R26" s="61">
        <v>10.195518920760335</v>
      </c>
    </row>
    <row r="27" spans="1:18" s="76" customFormat="1" ht="12.75" x14ac:dyDescent="0.2">
      <c r="A27" s="7" t="str">
        <f>VLOOKUP("&lt;Zeilentitel_13&gt;",Uebersetzungen!$B$3:$E$63,Uebersetzungen!$B$2+1,FALSE)</f>
        <v>Basel-Stadt</v>
      </c>
      <c r="B27" s="115">
        <v>158613</v>
      </c>
      <c r="C27" s="29">
        <v>30174</v>
      </c>
      <c r="D27" s="30">
        <v>5.8460926625571679</v>
      </c>
      <c r="E27" s="31">
        <v>31244</v>
      </c>
      <c r="F27" s="30">
        <v>5.7867110485213162</v>
      </c>
      <c r="G27" s="29">
        <v>8469</v>
      </c>
      <c r="H27" s="32">
        <v>12.303695831857363</v>
      </c>
      <c r="I27" s="34">
        <v>1562</v>
      </c>
      <c r="J27" s="35">
        <v>29.065300896286811</v>
      </c>
      <c r="K27" s="31">
        <v>13907</v>
      </c>
      <c r="L27" s="30">
        <v>9.9086790824764499</v>
      </c>
      <c r="M27" s="29">
        <v>3350</v>
      </c>
      <c r="N27" s="32">
        <v>20.686567164179102</v>
      </c>
      <c r="O27" s="29">
        <v>67340</v>
      </c>
      <c r="P27" s="30">
        <v>3.3739233739233736</v>
      </c>
      <c r="Q27" s="29">
        <v>2567.160026573496</v>
      </c>
      <c r="R27" s="33">
        <v>22.407941399110761</v>
      </c>
    </row>
    <row r="28" spans="1:18" s="76" customFormat="1" ht="12.75" x14ac:dyDescent="0.2">
      <c r="A28" s="7" t="str">
        <f>VLOOKUP("&lt;Zeilentitel_14&gt;",Uebersetzungen!$B$3:$E$63,Uebersetzungen!$B$2+1,FALSE)</f>
        <v>Basel-Landschaft</v>
      </c>
      <c r="B28" s="115">
        <v>232600</v>
      </c>
      <c r="C28" s="29">
        <v>80045</v>
      </c>
      <c r="D28" s="30">
        <v>3.0820163657942405</v>
      </c>
      <c r="E28" s="31">
        <v>66394</v>
      </c>
      <c r="F28" s="30">
        <v>3.542488779106546</v>
      </c>
      <c r="G28" s="29">
        <v>12549</v>
      </c>
      <c r="H28" s="32">
        <v>9.5704837038807877</v>
      </c>
      <c r="I28" s="34">
        <v>370.50952000000001</v>
      </c>
      <c r="J28" s="35">
        <v>55.849663458040169</v>
      </c>
      <c r="K28" s="31">
        <v>11761</v>
      </c>
      <c r="L28" s="30">
        <v>10.534818467817363</v>
      </c>
      <c r="M28" s="29">
        <v>3078</v>
      </c>
      <c r="N28" s="32">
        <v>19.980506822612085</v>
      </c>
      <c r="O28" s="29">
        <v>56579</v>
      </c>
      <c r="P28" s="30">
        <v>4.0315311334594108</v>
      </c>
      <c r="Q28" s="29">
        <v>1823.7239890603842</v>
      </c>
      <c r="R28" s="33">
        <v>25.579139321042842</v>
      </c>
    </row>
    <row r="29" spans="1:18" s="76" customFormat="1" ht="12.75" x14ac:dyDescent="0.2">
      <c r="A29" s="7" t="str">
        <f>VLOOKUP("&lt;Zeilentitel_15&gt;",Uebersetzungen!$B$3:$E$63,Uebersetzungen!$B$2+1,FALSE)</f>
        <v>Aargau</v>
      </c>
      <c r="B29" s="115">
        <v>516551</v>
      </c>
      <c r="C29" s="29">
        <v>144932</v>
      </c>
      <c r="D29" s="30">
        <v>1.6725084867386084</v>
      </c>
      <c r="E29" s="31">
        <v>183049</v>
      </c>
      <c r="F29" s="30">
        <v>1.4307644401225901</v>
      </c>
      <c r="G29" s="29">
        <v>33391</v>
      </c>
      <c r="H29" s="32">
        <v>4.0579796951274298</v>
      </c>
      <c r="I29" s="34">
        <v>317.75398000000001</v>
      </c>
      <c r="J29" s="35">
        <v>42.499999527936673</v>
      </c>
      <c r="K29" s="31">
        <v>32276</v>
      </c>
      <c r="L29" s="30">
        <v>4.3159003594001737</v>
      </c>
      <c r="M29" s="29">
        <v>5945</v>
      </c>
      <c r="N29" s="32">
        <v>9.9411269974768715</v>
      </c>
      <c r="O29" s="29">
        <v>112256</v>
      </c>
      <c r="P29" s="30">
        <v>2.0283993728620295</v>
      </c>
      <c r="Q29" s="29">
        <v>4384.4862823463227</v>
      </c>
      <c r="R29" s="33">
        <v>11.448295852200488</v>
      </c>
    </row>
    <row r="30" spans="1:18" s="76" customFormat="1" ht="12.75" x14ac:dyDescent="0.2">
      <c r="A30" s="7" t="str">
        <f>VLOOKUP("&lt;Zeilentitel_16&gt;",Uebersetzungen!$B$3:$E$63,Uebersetzungen!$B$2+1,FALSE)</f>
        <v>Zürich</v>
      </c>
      <c r="B30" s="117">
        <v>1161804</v>
      </c>
      <c r="C30" s="29">
        <v>386469</v>
      </c>
      <c r="D30" s="30">
        <v>1.41926001826796</v>
      </c>
      <c r="E30" s="31">
        <v>324844</v>
      </c>
      <c r="F30" s="30">
        <v>1.6463286993141324</v>
      </c>
      <c r="G30" s="29">
        <v>75235</v>
      </c>
      <c r="H30" s="32">
        <v>3.9117432046255072</v>
      </c>
      <c r="I30" s="29">
        <v>5131</v>
      </c>
      <c r="J30" s="30">
        <v>15.416098226466577</v>
      </c>
      <c r="K30" s="31">
        <v>69977</v>
      </c>
      <c r="L30" s="30">
        <v>4.2385355188133245</v>
      </c>
      <c r="M30" s="29">
        <v>18768</v>
      </c>
      <c r="N30" s="32">
        <v>8.1415174765558405</v>
      </c>
      <c r="O30" s="29">
        <v>270765</v>
      </c>
      <c r="P30" s="30">
        <v>1.8713644673425296</v>
      </c>
      <c r="Q30" s="29">
        <v>10615.246044466399</v>
      </c>
      <c r="R30" s="33">
        <v>10.694459275519989</v>
      </c>
    </row>
    <row r="31" spans="1:18" s="76" customFormat="1" ht="12.75" x14ac:dyDescent="0.2">
      <c r="A31" s="56" t="str">
        <f>VLOOKUP("&lt;Zeilentitel_17&gt;",Uebersetzungen!$B$3:$E$63,Uebersetzungen!$B$2+1,FALSE)</f>
        <v>Ostschweiz</v>
      </c>
      <c r="B31" s="114">
        <v>929480</v>
      </c>
      <c r="C31" s="57">
        <v>286473</v>
      </c>
      <c r="D31" s="58">
        <v>1.5463935519228689</v>
      </c>
      <c r="E31" s="59">
        <v>379314</v>
      </c>
      <c r="F31" s="58">
        <v>1.2713142509422728</v>
      </c>
      <c r="G31" s="57">
        <v>52731</v>
      </c>
      <c r="H31" s="60">
        <v>4.4110674935047696</v>
      </c>
      <c r="I31" s="64">
        <v>597.49983999999995</v>
      </c>
      <c r="J31" s="63">
        <v>41.059264551434879</v>
      </c>
      <c r="K31" s="59">
        <v>50911</v>
      </c>
      <c r="L31" s="58">
        <v>4.7749995089469861</v>
      </c>
      <c r="M31" s="57">
        <v>9068</v>
      </c>
      <c r="N31" s="60">
        <v>11.204234671371857</v>
      </c>
      <c r="O31" s="57">
        <v>143360</v>
      </c>
      <c r="P31" s="58">
        <v>2.5174386160714284</v>
      </c>
      <c r="Q31" s="57">
        <v>7024.3077599070539</v>
      </c>
      <c r="R31" s="61">
        <v>12.401862833463783</v>
      </c>
    </row>
    <row r="32" spans="1:18" s="76" customFormat="1" ht="12.75" x14ac:dyDescent="0.2">
      <c r="A32" s="7" t="str">
        <f>VLOOKUP("&lt;Zeilentitel_18&gt;",Uebersetzungen!$B$3:$E$63,Uebersetzungen!$B$2+1,FALSE)</f>
        <v>Glarus</v>
      </c>
      <c r="B32" s="115">
        <v>32882</v>
      </c>
      <c r="C32" s="29">
        <v>11266</v>
      </c>
      <c r="D32" s="30">
        <v>8.2993076513403174</v>
      </c>
      <c r="E32" s="31">
        <v>12001</v>
      </c>
      <c r="F32" s="30">
        <v>8.2743104741271551</v>
      </c>
      <c r="G32" s="36">
        <v>1257</v>
      </c>
      <c r="H32" s="37">
        <v>31.662688941925222</v>
      </c>
      <c r="I32" s="38" t="s">
        <v>1</v>
      </c>
      <c r="J32" s="30" t="s">
        <v>1</v>
      </c>
      <c r="K32" s="31">
        <v>2434</v>
      </c>
      <c r="L32" s="30">
        <v>25.267050123253902</v>
      </c>
      <c r="M32" s="34">
        <v>410.01022</v>
      </c>
      <c r="N32" s="37">
        <v>56.191689563250392</v>
      </c>
      <c r="O32" s="29">
        <v>5332</v>
      </c>
      <c r="P32" s="30">
        <v>14.103525881470366</v>
      </c>
      <c r="Q32" s="38" t="s">
        <v>1</v>
      </c>
      <c r="R32" s="33" t="s">
        <v>1</v>
      </c>
    </row>
    <row r="33" spans="1:18" s="76" customFormat="1" ht="12.75" x14ac:dyDescent="0.2">
      <c r="A33" s="7" t="str">
        <f>VLOOKUP("&lt;Zeilentitel_19&gt;",Uebersetzungen!$B$3:$E$63,Uebersetzungen!$B$2+1,FALSE)</f>
        <v>Schaffhausen</v>
      </c>
      <c r="B33" s="115">
        <v>65017</v>
      </c>
      <c r="C33" s="29">
        <v>26074</v>
      </c>
      <c r="D33" s="30">
        <v>5.1660658126869681</v>
      </c>
      <c r="E33" s="31">
        <v>14821</v>
      </c>
      <c r="F33" s="30">
        <v>8.0156534646784969</v>
      </c>
      <c r="G33" s="29">
        <v>4637</v>
      </c>
      <c r="H33" s="32">
        <v>15.742937243907699</v>
      </c>
      <c r="I33" s="38" t="s">
        <v>1</v>
      </c>
      <c r="J33" s="30" t="s">
        <v>1</v>
      </c>
      <c r="K33" s="31">
        <v>4369</v>
      </c>
      <c r="L33" s="30">
        <v>17.967498283360037</v>
      </c>
      <c r="M33" s="36">
        <v>932.95984999999996</v>
      </c>
      <c r="N33" s="37">
        <v>38.055244285164051</v>
      </c>
      <c r="O33" s="29">
        <v>13579</v>
      </c>
      <c r="P33" s="30">
        <v>8.5300550569424534</v>
      </c>
      <c r="Q33" s="34">
        <v>577.25240953637922</v>
      </c>
      <c r="R33" s="40">
        <v>47.130413638757325</v>
      </c>
    </row>
    <row r="34" spans="1:18" s="76" customFormat="1" ht="12.75" x14ac:dyDescent="0.2">
      <c r="A34" s="7" t="str">
        <f>VLOOKUP("&lt;Zeilentitel_20&gt;",Uebersetzungen!$B$3:$E$63,Uebersetzungen!$B$2+1,FALSE)</f>
        <v>Appenzell Ausserrhoden</v>
      </c>
      <c r="B34" s="115">
        <v>44436</v>
      </c>
      <c r="C34" s="29">
        <v>18519</v>
      </c>
      <c r="D34" s="30">
        <v>5.9020465467897836</v>
      </c>
      <c r="E34" s="31">
        <v>13635</v>
      </c>
      <c r="F34" s="30">
        <v>7.6274294096076281</v>
      </c>
      <c r="G34" s="29">
        <v>2760</v>
      </c>
      <c r="H34" s="32">
        <v>20</v>
      </c>
      <c r="I34" s="38" t="s">
        <v>1</v>
      </c>
      <c r="J34" s="30" t="s">
        <v>1</v>
      </c>
      <c r="K34" s="39">
        <v>1349</v>
      </c>
      <c r="L34" s="35">
        <v>31.356560415122313</v>
      </c>
      <c r="M34" s="34">
        <v>578.47967000000006</v>
      </c>
      <c r="N34" s="37">
        <v>45.827017568309692</v>
      </c>
      <c r="O34" s="29">
        <v>7202</v>
      </c>
      <c r="P34" s="30">
        <v>11.621771730074979</v>
      </c>
      <c r="Q34" s="34">
        <v>393.04392326896613</v>
      </c>
      <c r="R34" s="40">
        <v>53.353516351815159</v>
      </c>
    </row>
    <row r="35" spans="1:18" s="76" customFormat="1" ht="12.75" x14ac:dyDescent="0.2">
      <c r="A35" s="7" t="str">
        <f>VLOOKUP("&lt;Zeilentitel_21&gt;",Uebersetzungen!$B$3:$E$63,Uebersetzungen!$B$2+1,FALSE)</f>
        <v>Appenzell Innerrhoden</v>
      </c>
      <c r="B35" s="115">
        <v>12879</v>
      </c>
      <c r="C35" s="29">
        <v>1583</v>
      </c>
      <c r="D35" s="30">
        <v>25.33164876816172</v>
      </c>
      <c r="E35" s="31">
        <v>9493</v>
      </c>
      <c r="F35" s="30">
        <v>6.0149583903929207</v>
      </c>
      <c r="G35" s="34">
        <v>309.40899999999999</v>
      </c>
      <c r="H35" s="37">
        <v>64.465671651438726</v>
      </c>
      <c r="I35" s="38" t="s">
        <v>1</v>
      </c>
      <c r="J35" s="30" t="s">
        <v>1</v>
      </c>
      <c r="K35" s="41">
        <v>513.27382999999998</v>
      </c>
      <c r="L35" s="35">
        <v>51.560565634137234</v>
      </c>
      <c r="M35" s="34" t="s">
        <v>1</v>
      </c>
      <c r="N35" s="37" t="s">
        <v>1</v>
      </c>
      <c r="O35" s="36">
        <v>873.64601000000005</v>
      </c>
      <c r="P35" s="35">
        <v>36.325237724144124</v>
      </c>
      <c r="Q35" s="38" t="s">
        <v>1</v>
      </c>
      <c r="R35" s="33" t="s">
        <v>1</v>
      </c>
    </row>
    <row r="36" spans="1:18" s="76" customFormat="1" ht="12.75" x14ac:dyDescent="0.2">
      <c r="A36" s="7" t="str">
        <f>VLOOKUP("&lt;Zeilentitel_22&gt;",Uebersetzungen!$B$3:$E$63,Uebersetzungen!$B$2+1,FALSE)</f>
        <v>St. Gallen</v>
      </c>
      <c r="B36" s="115">
        <v>400542</v>
      </c>
      <c r="C36" s="29">
        <v>93772</v>
      </c>
      <c r="D36" s="30">
        <v>3.0936740178304825</v>
      </c>
      <c r="E36" s="31">
        <v>188923</v>
      </c>
      <c r="F36" s="30">
        <v>1.833551235159298</v>
      </c>
      <c r="G36" s="29">
        <v>23623</v>
      </c>
      <c r="H36" s="32">
        <v>7.129249396723254</v>
      </c>
      <c r="I36" s="34">
        <v>231.81658999999999</v>
      </c>
      <c r="J36" s="35">
        <v>73.06267587983028</v>
      </c>
      <c r="K36" s="31">
        <v>27588</v>
      </c>
      <c r="L36" s="30">
        <v>6.8798028128171662</v>
      </c>
      <c r="M36" s="29">
        <v>3789</v>
      </c>
      <c r="N36" s="32">
        <v>18.553708102401689</v>
      </c>
      <c r="O36" s="29">
        <v>59874</v>
      </c>
      <c r="P36" s="30">
        <v>4.1771052543675049</v>
      </c>
      <c r="Q36" s="29">
        <v>2742.1880201719196</v>
      </c>
      <c r="R36" s="33">
        <v>21.204497462978704</v>
      </c>
    </row>
    <row r="37" spans="1:18" s="76" customFormat="1" ht="12.75" x14ac:dyDescent="0.2">
      <c r="A37" s="65" t="str">
        <f>VLOOKUP("&lt;Zeilentitel_23&gt;",Uebersetzungen!$B$3:$E$63,Uebersetzungen!$B$2+1,FALSE)</f>
        <v>Graubünden</v>
      </c>
      <c r="B37" s="118">
        <v>163764</v>
      </c>
      <c r="C37" s="66">
        <v>58128</v>
      </c>
      <c r="D37" s="67">
        <v>3.6230388109000824</v>
      </c>
      <c r="E37" s="68">
        <v>72064</v>
      </c>
      <c r="F37" s="67">
        <v>3.0883107162164034</v>
      </c>
      <c r="G37" s="66">
        <v>6378</v>
      </c>
      <c r="H37" s="69">
        <v>13.813107557227971</v>
      </c>
      <c r="I37" s="70" t="s">
        <v>1</v>
      </c>
      <c r="J37" s="67" t="s">
        <v>1</v>
      </c>
      <c r="K37" s="68">
        <v>2562</v>
      </c>
      <c r="L37" s="67">
        <v>22.950819672131146</v>
      </c>
      <c r="M37" s="71">
        <v>1335</v>
      </c>
      <c r="N37" s="72">
        <v>30.936329588014981</v>
      </c>
      <c r="O37" s="66">
        <v>21796</v>
      </c>
      <c r="P37" s="67">
        <v>7.0242246283721794</v>
      </c>
      <c r="Q37" s="73">
        <v>1398.7125687685696</v>
      </c>
      <c r="R37" s="74">
        <v>29.592650033325199</v>
      </c>
    </row>
    <row r="38" spans="1:18" s="76" customFormat="1" ht="12.75" x14ac:dyDescent="0.2">
      <c r="A38" s="7" t="str">
        <f>VLOOKUP("&lt;Zeilentitel_24&gt;",Uebersetzungen!$B$3:$E$63,Uebersetzungen!$B$2+1,FALSE)</f>
        <v>Thurgau</v>
      </c>
      <c r="B38" s="115">
        <v>209960</v>
      </c>
      <c r="C38" s="29">
        <v>77131</v>
      </c>
      <c r="D38" s="30">
        <v>2.153479145868717</v>
      </c>
      <c r="E38" s="31">
        <v>68378</v>
      </c>
      <c r="F38" s="30">
        <v>2.401357161660183</v>
      </c>
      <c r="G38" s="29">
        <v>13767</v>
      </c>
      <c r="H38" s="32">
        <v>6.3194595772499458</v>
      </c>
      <c r="I38" s="34">
        <v>203.34374</v>
      </c>
      <c r="J38" s="35">
        <v>52.643086037465416</v>
      </c>
      <c r="K38" s="31">
        <v>12096</v>
      </c>
      <c r="L38" s="30">
        <v>7.0188492063492065</v>
      </c>
      <c r="M38" s="29">
        <v>2023</v>
      </c>
      <c r="N38" s="32">
        <v>16.955017301038062</v>
      </c>
      <c r="O38" s="29">
        <v>34704</v>
      </c>
      <c r="P38" s="30">
        <v>3.7978331028123558</v>
      </c>
      <c r="Q38" s="29">
        <v>1657.1280816315614</v>
      </c>
      <c r="R38" s="33">
        <v>18.581195914118538</v>
      </c>
    </row>
    <row r="39" spans="1:18" s="76" customFormat="1" ht="12.75" x14ac:dyDescent="0.2">
      <c r="A39" s="56" t="str">
        <f>VLOOKUP("&lt;Zeilentitel_25&gt;",Uebersetzungen!$B$3:$E$63,Uebersetzungen!$B$2+1,FALSE)</f>
        <v>Zentralschweiz</v>
      </c>
      <c r="B39" s="116">
        <v>627399</v>
      </c>
      <c r="C39" s="57">
        <v>71634</v>
      </c>
      <c r="D39" s="58">
        <v>3.2833570650808275</v>
      </c>
      <c r="E39" s="59">
        <v>407212</v>
      </c>
      <c r="F39" s="58">
        <v>0.85704743475143175</v>
      </c>
      <c r="G39" s="57">
        <v>26082</v>
      </c>
      <c r="H39" s="60">
        <v>5.8317399617590828</v>
      </c>
      <c r="I39" s="64">
        <v>723.55692999999997</v>
      </c>
      <c r="J39" s="63">
        <v>36.465903242748297</v>
      </c>
      <c r="K39" s="59">
        <v>24635</v>
      </c>
      <c r="L39" s="58">
        <v>6.1457276233001821</v>
      </c>
      <c r="M39" s="57">
        <v>6538</v>
      </c>
      <c r="N39" s="60">
        <v>11.869073111043132</v>
      </c>
      <c r="O39" s="57">
        <v>85911</v>
      </c>
      <c r="P39" s="58">
        <v>3.0112558345264282</v>
      </c>
      <c r="Q39" s="57">
        <v>4664.4519845073937</v>
      </c>
      <c r="R39" s="61">
        <v>13.706012530956642</v>
      </c>
    </row>
    <row r="40" spans="1:18" s="76" customFormat="1" ht="12.75" x14ac:dyDescent="0.2">
      <c r="A40" s="7" t="str">
        <f>VLOOKUP("&lt;Zeilentitel_26&gt;",Uebersetzungen!$B$3:$E$63,Uebersetzungen!$B$2+1,FALSE)</f>
        <v>Luzern</v>
      </c>
      <c r="B40" s="115">
        <v>316002</v>
      </c>
      <c r="C40" s="29">
        <v>34640</v>
      </c>
      <c r="D40" s="30">
        <v>3.8799076212471131</v>
      </c>
      <c r="E40" s="31">
        <v>205972</v>
      </c>
      <c r="F40" s="30">
        <v>0.99479540908473008</v>
      </c>
      <c r="G40" s="29">
        <v>13406</v>
      </c>
      <c r="H40" s="32">
        <v>6.6089810532597344</v>
      </c>
      <c r="I40" s="34">
        <v>279.02834999999999</v>
      </c>
      <c r="J40" s="35">
        <v>46.150590074449433</v>
      </c>
      <c r="K40" s="31">
        <v>13396</v>
      </c>
      <c r="L40" s="30">
        <v>6.7930725589728276</v>
      </c>
      <c r="M40" s="29">
        <v>3393</v>
      </c>
      <c r="N40" s="32">
        <v>13.262599469496022</v>
      </c>
      <c r="O40" s="29">
        <v>42625</v>
      </c>
      <c r="P40" s="30">
        <v>3.500293255131965</v>
      </c>
      <c r="Q40" s="29">
        <v>2291.8542600802029</v>
      </c>
      <c r="R40" s="33">
        <v>16.018636760720021</v>
      </c>
    </row>
    <row r="41" spans="1:18" s="76" customFormat="1" ht="12.75" x14ac:dyDescent="0.2">
      <c r="A41" s="7" t="str">
        <f>VLOOKUP("&lt;Zeilentitel_27&gt;",Uebersetzungen!$B$3:$E$63,Uebersetzungen!$B$2+1,FALSE)</f>
        <v>Uri</v>
      </c>
      <c r="B41" s="115">
        <v>29194</v>
      </c>
      <c r="C41" s="34">
        <v>1628</v>
      </c>
      <c r="D41" s="35">
        <v>25.982800982800985</v>
      </c>
      <c r="E41" s="31">
        <v>23795</v>
      </c>
      <c r="F41" s="30">
        <v>3.0342508930447574</v>
      </c>
      <c r="G41" s="34">
        <v>947.92011000000002</v>
      </c>
      <c r="H41" s="37">
        <v>36.614888358049498</v>
      </c>
      <c r="I41" s="29" t="s">
        <v>1</v>
      </c>
      <c r="J41" s="30" t="s">
        <v>1</v>
      </c>
      <c r="K41" s="41">
        <v>524.30471</v>
      </c>
      <c r="L41" s="35">
        <v>50.143696019820226</v>
      </c>
      <c r="M41" s="34" t="s">
        <v>1</v>
      </c>
      <c r="N41" s="37" t="s">
        <v>1</v>
      </c>
      <c r="O41" s="29">
        <v>1935</v>
      </c>
      <c r="P41" s="30">
        <v>24.082687338501291</v>
      </c>
      <c r="Q41" s="38">
        <v>217.00060481449299</v>
      </c>
      <c r="R41" s="33">
        <v>73.470705116574479</v>
      </c>
    </row>
    <row r="42" spans="1:18" s="76" customFormat="1" ht="12.75" x14ac:dyDescent="0.2">
      <c r="A42" s="7" t="str">
        <f>VLOOKUP("&lt;Zeilentitel_28&gt;",Uebersetzungen!$B$3:$E$63,Uebersetzungen!$B$2+1,FALSE)</f>
        <v>Schwyz</v>
      </c>
      <c r="B42" s="115">
        <v>122659</v>
      </c>
      <c r="C42" s="29">
        <v>14049</v>
      </c>
      <c r="D42" s="30">
        <v>8.4418819844828814</v>
      </c>
      <c r="E42" s="31">
        <v>80688</v>
      </c>
      <c r="F42" s="30">
        <v>2.2134642078128097</v>
      </c>
      <c r="G42" s="29">
        <v>1149</v>
      </c>
      <c r="H42" s="32">
        <v>32.811140121845085</v>
      </c>
      <c r="I42" s="34" t="s">
        <v>1</v>
      </c>
      <c r="J42" s="35" t="s">
        <v>1</v>
      </c>
      <c r="K42" s="31">
        <v>4798</v>
      </c>
      <c r="L42" s="30">
        <v>16.34014172571905</v>
      </c>
      <c r="M42" s="36">
        <v>1149</v>
      </c>
      <c r="N42" s="37">
        <v>32.811140121845085</v>
      </c>
      <c r="O42" s="29">
        <v>16101</v>
      </c>
      <c r="P42" s="30">
        <v>7.9870815477299546</v>
      </c>
      <c r="Q42" s="34">
        <v>969.89490389579862</v>
      </c>
      <c r="R42" s="40">
        <v>34.326135545139508</v>
      </c>
    </row>
    <row r="43" spans="1:18" s="76" customFormat="1" ht="12.75" x14ac:dyDescent="0.2">
      <c r="A43" s="7" t="str">
        <f>VLOOKUP("&lt;Zeilentitel_29&gt;",Uebersetzungen!$B$3:$E$63,Uebersetzungen!$B$2+1,FALSE)</f>
        <v>Obwalden</v>
      </c>
      <c r="B43" s="115">
        <v>29653</v>
      </c>
      <c r="C43" s="29">
        <v>2391</v>
      </c>
      <c r="D43" s="30">
        <v>21.37181095775826</v>
      </c>
      <c r="E43" s="31">
        <v>22037</v>
      </c>
      <c r="F43" s="30">
        <v>3.8253845804782869</v>
      </c>
      <c r="G43" s="34">
        <v>722.14567</v>
      </c>
      <c r="H43" s="37">
        <v>42.215074141481736</v>
      </c>
      <c r="I43" s="38" t="s">
        <v>1</v>
      </c>
      <c r="J43" s="30" t="s">
        <v>1</v>
      </c>
      <c r="K43" s="39">
        <v>773.88301999999999</v>
      </c>
      <c r="L43" s="35">
        <v>40.072849769982035</v>
      </c>
      <c r="M43" s="34">
        <v>377.02217000000002</v>
      </c>
      <c r="N43" s="37">
        <v>58.0930267310275</v>
      </c>
      <c r="O43" s="29">
        <v>3046</v>
      </c>
      <c r="P43" s="30">
        <v>18.844386080105053</v>
      </c>
      <c r="Q43" s="34">
        <v>276.25143368966349</v>
      </c>
      <c r="R43" s="40">
        <v>68.248728216903658</v>
      </c>
    </row>
    <row r="44" spans="1:18" s="76" customFormat="1" ht="12.75" x14ac:dyDescent="0.2">
      <c r="A44" s="7" t="str">
        <f>VLOOKUP("&lt;Zeilentitel_30&gt;",Uebersetzungen!$B$3:$E$63,Uebersetzungen!$B$2+1,FALSE)</f>
        <v>Nidwalden</v>
      </c>
      <c r="B44" s="115">
        <v>34881</v>
      </c>
      <c r="C44" s="29">
        <v>3179</v>
      </c>
      <c r="D44" s="30">
        <v>18.213274614658697</v>
      </c>
      <c r="E44" s="31">
        <v>23944</v>
      </c>
      <c r="F44" s="30">
        <v>3.942532576010692</v>
      </c>
      <c r="G44" s="34">
        <v>1233</v>
      </c>
      <c r="H44" s="37">
        <v>30.57583130575831</v>
      </c>
      <c r="I44" s="38" t="s">
        <v>1</v>
      </c>
      <c r="J44" s="30" t="s">
        <v>1</v>
      </c>
      <c r="K44" s="41">
        <v>1023</v>
      </c>
      <c r="L44" s="35">
        <v>35.09286412512219</v>
      </c>
      <c r="M44" s="38">
        <v>259.04669999999999</v>
      </c>
      <c r="N44" s="32">
        <v>68.281074416311824</v>
      </c>
      <c r="O44" s="29">
        <v>4817</v>
      </c>
      <c r="P44" s="30">
        <v>14.780984014947062</v>
      </c>
      <c r="Q44" s="34">
        <v>364.5463595581237</v>
      </c>
      <c r="R44" s="40">
        <v>55.4928447089736</v>
      </c>
    </row>
    <row r="45" spans="1:18" s="76" customFormat="1" ht="12.75" x14ac:dyDescent="0.2">
      <c r="A45" s="7" t="str">
        <f>VLOOKUP("&lt;Zeilentitel_31&gt;",Uebersetzungen!$B$3:$E$63,Uebersetzungen!$B$2+1,FALSE)</f>
        <v>Zug</v>
      </c>
      <c r="B45" s="115">
        <v>95010</v>
      </c>
      <c r="C45" s="29">
        <v>15747</v>
      </c>
      <c r="D45" s="30">
        <v>7.88721661268813</v>
      </c>
      <c r="E45" s="31">
        <v>50776</v>
      </c>
      <c r="F45" s="30">
        <v>3.2613833307074209</v>
      </c>
      <c r="G45" s="29">
        <v>4993</v>
      </c>
      <c r="H45" s="32">
        <v>15.661926697376327</v>
      </c>
      <c r="I45" s="34">
        <v>228.59952000000001</v>
      </c>
      <c r="J45" s="35">
        <v>73.347026275470725</v>
      </c>
      <c r="K45" s="31">
        <v>4119</v>
      </c>
      <c r="L45" s="30">
        <v>18.11119203690216</v>
      </c>
      <c r="M45" s="29">
        <v>1213</v>
      </c>
      <c r="N45" s="32">
        <v>32.646331409727949</v>
      </c>
      <c r="O45" s="29">
        <v>17388</v>
      </c>
      <c r="P45" s="30">
        <v>7.6432022084196003</v>
      </c>
      <c r="Q45" s="34">
        <v>544.90442246911198</v>
      </c>
      <c r="R45" s="40">
        <v>45.402885593661075</v>
      </c>
    </row>
    <row r="46" spans="1:18" s="76" customFormat="1" ht="13.5" thickBot="1" x14ac:dyDescent="0.25">
      <c r="A46" s="129" t="str">
        <f>VLOOKUP("&lt;Zeilentitel_32&gt;",Uebersetzungen!$B$3:$E$63,Uebersetzungen!$B$2+1,FALSE)</f>
        <v>Tessin</v>
      </c>
      <c r="B46" s="130">
        <v>284957</v>
      </c>
      <c r="C46" s="131">
        <v>14118</v>
      </c>
      <c r="D46" s="132">
        <v>6.1481796288426125</v>
      </c>
      <c r="E46" s="133">
        <v>196060</v>
      </c>
      <c r="F46" s="132">
        <v>0.95582984800571258</v>
      </c>
      <c r="G46" s="131">
        <v>16494</v>
      </c>
      <c r="H46" s="134">
        <v>5.8021098581302288</v>
      </c>
      <c r="I46" s="135">
        <v>471.45026999999999</v>
      </c>
      <c r="J46" s="136">
        <v>35.325305890693429</v>
      </c>
      <c r="K46" s="133">
        <v>5606</v>
      </c>
      <c r="L46" s="132">
        <v>10.363895825900821</v>
      </c>
      <c r="M46" s="131">
        <v>1760</v>
      </c>
      <c r="N46" s="134">
        <v>18.46590909090909</v>
      </c>
      <c r="O46" s="131">
        <v>45001</v>
      </c>
      <c r="P46" s="132">
        <v>3.3021488411368636</v>
      </c>
      <c r="Q46" s="131">
        <v>5447.0732814507692</v>
      </c>
      <c r="R46" s="137">
        <v>10.166946643143024</v>
      </c>
    </row>
    <row r="47" spans="1:18" s="76" customFormat="1" ht="12.75" x14ac:dyDescent="0.2">
      <c r="A47" s="8"/>
      <c r="B47" s="5"/>
      <c r="C47" s="9"/>
      <c r="D47" s="10"/>
      <c r="E47" s="10"/>
      <c r="F47" s="10"/>
      <c r="G47" s="11"/>
      <c r="H47" s="12"/>
      <c r="I47" s="11"/>
      <c r="J47" s="12"/>
      <c r="K47" s="11"/>
      <c r="L47" s="12"/>
      <c r="M47" s="11"/>
      <c r="N47" s="12"/>
      <c r="O47" s="11"/>
      <c r="P47" s="12"/>
      <c r="Q47" s="11"/>
      <c r="R47" s="12"/>
    </row>
    <row r="48" spans="1:18" s="76" customFormat="1" ht="12.75" x14ac:dyDescent="0.2">
      <c r="A48" s="16" t="str">
        <f>VLOOKUP("&lt;Legende_1&gt;",Uebersetzungen!$B$3:$E$63,Uebersetzungen!$B$2+1,FALSE)</f>
        <v xml:space="preserve">Ab 2010 stammen die Daten aus einer Stichprobenerhebung der ständigen Wohnbevölkerung ab vollendetem 15. Altersjahr, die in Privathaushalten lebt. </v>
      </c>
      <c r="B48" s="5"/>
      <c r="C48" s="9"/>
      <c r="D48" s="10"/>
      <c r="E48" s="10"/>
      <c r="F48" s="10"/>
      <c r="G48" s="11"/>
      <c r="H48" s="12"/>
      <c r="I48" s="11"/>
      <c r="J48" s="12"/>
      <c r="K48" s="11"/>
      <c r="L48" s="12"/>
      <c r="M48" s="11"/>
      <c r="N48" s="12"/>
      <c r="O48" s="11"/>
      <c r="P48" s="12"/>
      <c r="Q48" s="11"/>
      <c r="R48" s="12"/>
    </row>
    <row r="49" spans="1:18" s="76" customFormat="1" ht="12.75" x14ac:dyDescent="0.2">
      <c r="A49" s="16" t="str">
        <f>VLOOKUP("&lt;Legende_2&gt;",Uebersetzungen!$B$3:$E$63,Uebersetzungen!$B$2+1,FALSE)</f>
        <v>Nicht befragt wurden Diplomaten, internationale Funktionäre und deren Familienangehörige. Diese Daten sind mit jenen der frühreren Jahre nicht direkt vergleichbar.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s="76" customFormat="1" ht="12.75" x14ac:dyDescent="0.2">
      <c r="A50" s="16" t="str">
        <f>VLOOKUP("&lt;Legende_3&gt;",Uebersetzungen!$B$3:$E$63,Uebersetzungen!$B$2+1,FALSE)</f>
        <v>Das Vertrauensintervall zeigt die Genauigkeit der Resultate einer Stichprobenerhebung.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1:18" s="76" customFormat="1" ht="12.75" x14ac:dyDescent="0.2">
      <c r="A51" s="16" t="str">
        <f>VLOOKUP("&lt;Legende_4&gt;",Uebersetzungen!$B$3:$E$63,Uebersetzungen!$B$2+1,FALSE)</f>
        <v>(): Extrapolation aufgrund von 49 oder weniger Beobachtungen. Die Resultate sind mit grosser Vorsicht zu interpretieren.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s="76" customFormat="1" ht="12.75" x14ac:dyDescent="0.2">
      <c r="A52" s="13" t="str">
        <f>VLOOKUP("&lt;Legende_5&gt;",Uebersetzungen!$B$3:$E$63,Uebersetzungen!$B$2+1,FALSE)</f>
        <v>X: Extrapolation aufgrund von 4 oder weniger Beobachtungen. Die Resultate werden aus Gründen des Datenschutzes nicht publiziert.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s="76" customFormat="1" ht="12.75" x14ac:dyDescent="0.2">
      <c r="A53" s="13" t="str">
        <f>VLOOKUP("&lt;Legende_6&gt;",Uebersetzungen!$B$3:$E$63,Uebersetzungen!$B$2+1,FALSE)</f>
        <v>* inkl. andere aus dem Islam hervorgegangene Gemeinschaften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 s="76" customFormat="1" ht="12.75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18" s="76" customFormat="1" ht="12.75" x14ac:dyDescent="0.2">
      <c r="A55" s="16" t="str">
        <f>VLOOKUP("&lt;quelle_1&gt;",Uebersetzungen!$B$3:$E$63,Uebersetzungen!$B$2+1,FALSE)</f>
        <v>Quelle: BFS (Strukturerhebung)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8" s="76" customFormat="1" ht="12.75" x14ac:dyDescent="0.2">
      <c r="A56" s="13" t="str">
        <f>VLOOKUP("&lt;aktualisierung&gt;",Uebersetzungen!$B$3:$E$213,Uebersetzungen!$B$2+1,FALSE)</f>
        <v>Letztmals aktualisiert am: 29.01.2026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</sheetData>
  <sheetProtection sheet="1" objects="1" scenarios="1"/>
  <mergeCells count="11">
    <mergeCell ref="Q13:R13"/>
    <mergeCell ref="A7:D7"/>
    <mergeCell ref="B12:R12"/>
    <mergeCell ref="B13:B14"/>
    <mergeCell ref="C13:D13"/>
    <mergeCell ref="E13:F13"/>
    <mergeCell ref="G13:H13"/>
    <mergeCell ref="I13:J13"/>
    <mergeCell ref="K13:L13"/>
    <mergeCell ref="M13:N13"/>
    <mergeCell ref="O13:P13"/>
  </mergeCells>
  <pageMargins left="0.7" right="0.7" top="0.75" bottom="0.75" header="0.3" footer="0.3"/>
  <pageSetup paperSize="9" orientation="portrait" r:id="rId1"/>
  <ignoredErrors>
    <ignoredError sqref="D14 F14 H14 J14 L14 N14 P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Option Button 1">
              <controlPr defaultSize="0" autoFill="0" autoLine="0" autoPict="0">
                <anchor moveWithCells="1">
                  <from>
                    <xdr:col>6</xdr:col>
                    <xdr:colOff>295275</xdr:colOff>
                    <xdr:row>1</xdr:row>
                    <xdr:rowOff>114300</xdr:rowOff>
                  </from>
                  <to>
                    <xdr:col>7</xdr:col>
                    <xdr:colOff>695325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Option Button 2">
              <controlPr defaultSize="0" autoFill="0" autoLine="0" autoPict="0">
                <anchor moveWithCells="1">
                  <from>
                    <xdr:col>6</xdr:col>
                    <xdr:colOff>295275</xdr:colOff>
                    <xdr:row>2</xdr:row>
                    <xdr:rowOff>104775</xdr:rowOff>
                  </from>
                  <to>
                    <xdr:col>8</xdr:col>
                    <xdr:colOff>276225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Option Button 3">
              <controlPr defaultSize="0" autoFill="0" autoLine="0" autoPict="0">
                <anchor moveWithCells="1">
                  <from>
                    <xdr:col>6</xdr:col>
                    <xdr:colOff>295275</xdr:colOff>
                    <xdr:row>3</xdr:row>
                    <xdr:rowOff>66675</xdr:rowOff>
                  </from>
                  <to>
                    <xdr:col>7</xdr:col>
                    <xdr:colOff>695325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56"/>
  <sheetViews>
    <sheetView showGridLines="0" workbookViewId="0"/>
  </sheetViews>
  <sheetFormatPr baseColWidth="10" defaultColWidth="9.140625" defaultRowHeight="14.25" x14ac:dyDescent="0.2"/>
  <cols>
    <col min="1" max="1" width="22.7109375" style="53" customWidth="1"/>
    <col min="2" max="2" width="9.140625" style="53" customWidth="1"/>
    <col min="3" max="18" width="12.42578125" style="53" customWidth="1"/>
    <col min="19" max="16384" width="9.140625" style="77"/>
  </cols>
  <sheetData>
    <row r="1" spans="1:18" s="75" customFormat="1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75" customFormat="1" ht="15.75" x14ac:dyDescent="0.25">
      <c r="A2" s="1"/>
      <c r="B2" s="15"/>
      <c r="C2" s="53"/>
      <c r="D2" s="5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75" customFormat="1" ht="15.75" x14ac:dyDescent="0.25">
      <c r="A3" s="1"/>
      <c r="B3" s="15"/>
      <c r="C3" s="53"/>
      <c r="D3" s="5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s="75" customFormat="1" ht="15.75" x14ac:dyDescent="0.25">
      <c r="A4" s="1"/>
      <c r="B4" s="15"/>
      <c r="C4" s="53"/>
      <c r="D4" s="5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75" customFormat="1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s="75" customFormat="1" ht="12.7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s="75" customFormat="1" ht="15.75" customHeight="1" x14ac:dyDescent="0.2">
      <c r="A7" s="146" t="str">
        <f>VLOOKUP("&lt;Fachbereich&gt;",Uebersetzungen!$B$3:$E$63,Uebersetzungen!$B$2+1,FALSE)</f>
        <v>Daten &amp; Statistik</v>
      </c>
      <c r="B7" s="146"/>
      <c r="C7" s="146"/>
      <c r="D7" s="146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</row>
    <row r="8" spans="1:18" s="75" customFormat="1" ht="12.7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s="76" customFormat="1" ht="18" x14ac:dyDescent="0.2">
      <c r="A9" s="19" t="str">
        <f>VLOOKUP("&lt;Titel&gt;",Uebersetzungen!$B$3:$E$63,Uebersetzungen!$B$2+1,FALSE)</f>
        <v>Religionszugehörigkeit nach Kanton</v>
      </c>
      <c r="B9" s="54"/>
      <c r="C9" s="55"/>
      <c r="D9" s="55"/>
      <c r="E9" s="55"/>
      <c r="F9" s="55"/>
      <c r="G9" s="55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s="76" customFormat="1" ht="12.75" x14ac:dyDescent="0.2">
      <c r="A10" s="20" t="str">
        <f>VLOOKUP("&lt;UTitel&gt;",Uebersetzungen!$B$3:$E$63,Uebersetzungen!$B$2+1,FALSE)</f>
        <v>Ständige Wohnbevölkerung ab 15 Jahren</v>
      </c>
      <c r="B10" s="54"/>
      <c r="C10" s="55"/>
      <c r="D10" s="55"/>
      <c r="E10" s="55"/>
      <c r="F10" s="55"/>
      <c r="G10" s="5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8.75" thickBot="1" x14ac:dyDescent="0.3">
      <c r="B11" s="17"/>
      <c r="C11" s="18"/>
      <c r="D11" s="4"/>
      <c r="E11" s="4"/>
      <c r="F11" s="4"/>
      <c r="G11" s="4"/>
      <c r="H11" s="4"/>
      <c r="I11" s="4"/>
      <c r="J11" s="4"/>
    </row>
    <row r="12" spans="1:18" s="78" customFormat="1" ht="18" x14ac:dyDescent="0.25">
      <c r="A12" s="3"/>
      <c r="B12" s="158">
        <v>2010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60"/>
    </row>
    <row r="13" spans="1:18" s="78" customFormat="1" ht="37.5" customHeight="1" x14ac:dyDescent="0.25">
      <c r="A13" s="3"/>
      <c r="B13" s="157" t="str">
        <f>VLOOKUP("&lt;SpaltenTitel_1&gt;",Uebersetzungen!$B$3:$E$63,Uebersetzungen!$B$2+1,FALSE)</f>
        <v>Total</v>
      </c>
      <c r="C13" s="152" t="str">
        <f>VLOOKUP("&lt;SpaltenTitel_2&gt;",Uebersetzungen!$B$3:$E$63,Uebersetzungen!$B$2+1,FALSE)</f>
        <v>Evangelisch-reformiert</v>
      </c>
      <c r="D13" s="152"/>
      <c r="E13" s="152" t="str">
        <f>VLOOKUP("&lt;SpaltenTitel_3&gt;",Uebersetzungen!$B$3:$E$63,Uebersetzungen!$B$2+1,FALSE)</f>
        <v>Römisch-katholisch</v>
      </c>
      <c r="F13" s="152"/>
      <c r="G13" s="152" t="str">
        <f>VLOOKUP("&lt;SpaltenTitel_4&gt;",Uebersetzungen!$B$3:$E$63,Uebersetzungen!$B$2+1,FALSE)</f>
        <v>Andere christliche Glaubensgemeinschaften</v>
      </c>
      <c r="H13" s="152"/>
      <c r="I13" s="152" t="str">
        <f>VLOOKUP("&lt;SpaltenTitel_5&gt;",Uebersetzungen!$B$3:$E$63,Uebersetzungen!$B$2+1,FALSE)</f>
        <v>Jüdische Glaubensgemeinschaften</v>
      </c>
      <c r="J13" s="152"/>
      <c r="K13" s="152" t="str">
        <f>VLOOKUP("&lt;SpaltenTitel_6&gt;",Uebersetzungen!$B$3:$E$63,Uebersetzungen!$B$2+1,FALSE)</f>
        <v>Islamische Glaubensgem.*</v>
      </c>
      <c r="L13" s="152"/>
      <c r="M13" s="152" t="str">
        <f>VLOOKUP("&lt;SpaltenTitel_7&gt;",Uebersetzungen!$B$3:$E$63,Uebersetzungen!$B$2+1,FALSE)</f>
        <v>Andere Religionsgemeinschaften</v>
      </c>
      <c r="N13" s="152"/>
      <c r="O13" s="152" t="str">
        <f>VLOOKUP("&lt;SpaltenTitel_8&gt;",Uebersetzungen!$B$3:$E$63,Uebersetzungen!$B$2+1,FALSE)</f>
        <v>Ohne Religionszugehörigkeit</v>
      </c>
      <c r="P13" s="152"/>
      <c r="Q13" s="152" t="str">
        <f>VLOOKUP("&lt;SpaltenTitel_9&gt;",Uebersetzungen!$B$3:$E$63,Uebersetzungen!$B$2+1,FALSE)</f>
        <v>Religionszugehörigkeit unbekannt</v>
      </c>
      <c r="R13" s="153"/>
    </row>
    <row r="14" spans="1:18" s="78" customFormat="1" ht="39" thickBot="1" x14ac:dyDescent="0.3">
      <c r="A14" s="6"/>
      <c r="B14" s="151"/>
      <c r="C14" s="112" t="str">
        <f>VLOOKUP("&lt;SpaltenTitel_2.1&gt;",Uebersetzungen!$B$3:$E$63,Uebersetzungen!$B$2+1,FALSE)</f>
        <v>Anzahl Personen</v>
      </c>
      <c r="D14" s="112" t="str">
        <f>VLOOKUP("&lt;SpaltenTitel_2.2&gt;",Uebersetzungen!$B$3:$E$63,Uebersetzungen!$B$2+1,FALSE)</f>
        <v>Vertrauens- intervall:          ± (in %)</v>
      </c>
      <c r="E14" s="112" t="str">
        <f>VLOOKUP("&lt;SpaltenTitel_2.1&gt;",Uebersetzungen!$B$3:$E$63,Uebersetzungen!$B$2+1,FALSE)</f>
        <v>Anzahl Personen</v>
      </c>
      <c r="F14" s="112" t="str">
        <f>VLOOKUP("&lt;SpaltenTitel_2.2&gt;",Uebersetzungen!$B$3:$E$63,Uebersetzungen!$B$2+1,FALSE)</f>
        <v>Vertrauens- intervall:          ± (in %)</v>
      </c>
      <c r="G14" s="112" t="str">
        <f>VLOOKUP("&lt;SpaltenTitel_2.1&gt;",Uebersetzungen!$B$3:$E$63,Uebersetzungen!$B$2+1,FALSE)</f>
        <v>Anzahl Personen</v>
      </c>
      <c r="H14" s="112" t="str">
        <f>VLOOKUP("&lt;SpaltenTitel_2.2&gt;",Uebersetzungen!$B$3:$E$63,Uebersetzungen!$B$2+1,FALSE)</f>
        <v>Vertrauens- intervall:          ± (in %)</v>
      </c>
      <c r="I14" s="112" t="str">
        <f>VLOOKUP("&lt;SpaltenTitel_2.1&gt;",Uebersetzungen!$B$3:$E$63,Uebersetzungen!$B$2+1,FALSE)</f>
        <v>Anzahl Personen</v>
      </c>
      <c r="J14" s="112" t="str">
        <f>VLOOKUP("&lt;SpaltenTitel_2.2&gt;",Uebersetzungen!$B$3:$E$63,Uebersetzungen!$B$2+1,FALSE)</f>
        <v>Vertrauens- intervall:          ± (in %)</v>
      </c>
      <c r="K14" s="112" t="str">
        <f>VLOOKUP("&lt;SpaltenTitel_2.1&gt;",Uebersetzungen!$B$3:$E$63,Uebersetzungen!$B$2+1,FALSE)</f>
        <v>Anzahl Personen</v>
      </c>
      <c r="L14" s="112" t="str">
        <f>VLOOKUP("&lt;SpaltenTitel_2.2&gt;",Uebersetzungen!$B$3:$E$63,Uebersetzungen!$B$2+1,FALSE)</f>
        <v>Vertrauens- intervall:          ± (in %)</v>
      </c>
      <c r="M14" s="112" t="str">
        <f>VLOOKUP("&lt;SpaltenTitel_2.1&gt;",Uebersetzungen!$B$3:$E$63,Uebersetzungen!$B$2+1,FALSE)</f>
        <v>Anzahl Personen</v>
      </c>
      <c r="N14" s="112" t="str">
        <f>VLOOKUP("&lt;SpaltenTitel_2.2&gt;",Uebersetzungen!$B$3:$E$63,Uebersetzungen!$B$2+1,FALSE)</f>
        <v>Vertrauens- intervall:          ± (in %)</v>
      </c>
      <c r="O14" s="112" t="str">
        <f>VLOOKUP("&lt;SpaltenTitel_2.1&gt;",Uebersetzungen!$B$3:$E$63,Uebersetzungen!$B$2+1,FALSE)</f>
        <v>Anzahl Personen</v>
      </c>
      <c r="P14" s="112" t="str">
        <f>VLOOKUP("&lt;SpaltenTitel_2.2&gt;",Uebersetzungen!$B$3:$E$63,Uebersetzungen!$B$2+1,FALSE)</f>
        <v>Vertrauens- intervall:          ± (in %)</v>
      </c>
      <c r="Q14" s="112" t="str">
        <f>VLOOKUP("&lt;SpaltenTitel_2.1&gt;",Uebersetzungen!$B$3:$E$63,Uebersetzungen!$B$2+1,FALSE)</f>
        <v>Anzahl Personen</v>
      </c>
      <c r="R14" s="113" t="str">
        <f>VLOOKUP("&lt;SpaltenTitel_2.2&gt;",Uebersetzungen!$B$3:$E$63,Uebersetzungen!$B$2+1,FALSE)</f>
        <v>Vertrauens- intervall:          ± (in %)</v>
      </c>
    </row>
    <row r="15" spans="1:18" s="76" customFormat="1" ht="12.75" x14ac:dyDescent="0.2">
      <c r="A15" s="14" t="str">
        <f>VLOOKUP("&lt;Zeilentitel_1&gt;",Uebersetzungen!$B$3:$E$63,Uebersetzungen!$B$2+1,FALSE)</f>
        <v>Total</v>
      </c>
      <c r="B15" s="28">
        <v>6519253</v>
      </c>
      <c r="C15" s="108">
        <v>1827647</v>
      </c>
      <c r="D15" s="119">
        <v>0.55924366138537696</v>
      </c>
      <c r="E15" s="120">
        <v>2513849</v>
      </c>
      <c r="F15" s="119">
        <v>0.43674063159720411</v>
      </c>
      <c r="G15" s="109">
        <v>355465</v>
      </c>
      <c r="H15" s="121">
        <v>1.5697748020198896</v>
      </c>
      <c r="I15" s="109">
        <v>15934</v>
      </c>
      <c r="J15" s="119">
        <v>6.6461654324086865</v>
      </c>
      <c r="K15" s="110">
        <v>295798</v>
      </c>
      <c r="L15" s="119">
        <v>1.8350360719139414</v>
      </c>
      <c r="M15" s="109">
        <v>73447</v>
      </c>
      <c r="N15" s="121">
        <v>3.6284667855732708</v>
      </c>
      <c r="O15" s="108">
        <v>1309654</v>
      </c>
      <c r="P15" s="119">
        <v>0.72690955015599534</v>
      </c>
      <c r="Q15" s="109">
        <v>127459.12233814722</v>
      </c>
      <c r="R15" s="122">
        <v>2.5879359664894408</v>
      </c>
    </row>
    <row r="16" spans="1:18" s="76" customFormat="1" ht="12.75" x14ac:dyDescent="0.2">
      <c r="A16" s="56" t="str">
        <f>VLOOKUP("&lt;Zeilentitel_2&gt;",Uebersetzungen!$B$3:$E$63,Uebersetzungen!$B$2+1,FALSE)</f>
        <v>Genferseeregion</v>
      </c>
      <c r="B16" s="114">
        <v>1189403</v>
      </c>
      <c r="C16" s="57">
        <v>224185</v>
      </c>
      <c r="D16" s="58">
        <v>1.4737828133015143</v>
      </c>
      <c r="E16" s="59">
        <v>503613</v>
      </c>
      <c r="F16" s="58">
        <v>0.87328960928331878</v>
      </c>
      <c r="G16" s="57">
        <v>56837</v>
      </c>
      <c r="H16" s="60">
        <v>3.5082780583070883</v>
      </c>
      <c r="I16" s="57">
        <v>6372</v>
      </c>
      <c r="J16" s="58">
        <v>10.138104205900817</v>
      </c>
      <c r="K16" s="59">
        <v>48338</v>
      </c>
      <c r="L16" s="58">
        <v>4.0092680706690382</v>
      </c>
      <c r="M16" s="57">
        <v>11333</v>
      </c>
      <c r="N16" s="60">
        <v>8.1620047648460243</v>
      </c>
      <c r="O16" s="57">
        <v>300466</v>
      </c>
      <c r="P16" s="58">
        <v>1.3149574327877362</v>
      </c>
      <c r="Q16" s="57">
        <v>38258.172943863749</v>
      </c>
      <c r="R16" s="61">
        <v>4.3415093664644093</v>
      </c>
    </row>
    <row r="17" spans="1:18" s="76" customFormat="1" ht="12.75" x14ac:dyDescent="0.2">
      <c r="A17" s="7" t="str">
        <f>VLOOKUP("&lt;Zeilentitel_3&gt;",Uebersetzungen!$B$3:$E$63,Uebersetzungen!$B$2+1,FALSE)</f>
        <v>Waadt</v>
      </c>
      <c r="B17" s="115">
        <v>573030</v>
      </c>
      <c r="C17" s="29">
        <v>165607</v>
      </c>
      <c r="D17" s="30">
        <v>1.5627358746912874</v>
      </c>
      <c r="E17" s="31">
        <v>178101</v>
      </c>
      <c r="F17" s="30">
        <v>1.5530513584988292</v>
      </c>
      <c r="G17" s="29">
        <v>32203</v>
      </c>
      <c r="H17" s="32">
        <v>4.2759991305157907</v>
      </c>
      <c r="I17" s="29">
        <v>1944</v>
      </c>
      <c r="J17" s="30">
        <v>17.952674897119341</v>
      </c>
      <c r="K17" s="31">
        <v>24755</v>
      </c>
      <c r="L17" s="30">
        <v>5.1949101191678446</v>
      </c>
      <c r="M17" s="29">
        <v>5782</v>
      </c>
      <c r="N17" s="32">
        <v>10.722933241093049</v>
      </c>
      <c r="O17" s="29">
        <v>147504</v>
      </c>
      <c r="P17" s="30">
        <v>1.7816465994142532</v>
      </c>
      <c r="Q17" s="29">
        <v>17134.328585279847</v>
      </c>
      <c r="R17" s="33">
        <v>5.9057210340776178</v>
      </c>
    </row>
    <row r="18" spans="1:18" s="76" customFormat="1" ht="12.75" x14ac:dyDescent="0.2">
      <c r="A18" s="7" t="str">
        <f>VLOOKUP("&lt;Zeilentitel_4&gt;",Uebersetzungen!$B$3:$E$63,Uebersetzungen!$B$2+1,FALSE)</f>
        <v>Wallis</v>
      </c>
      <c r="B18" s="115">
        <v>256526</v>
      </c>
      <c r="C18" s="29">
        <v>16475</v>
      </c>
      <c r="D18" s="30">
        <v>8.5827010622154774</v>
      </c>
      <c r="E18" s="31">
        <v>193533</v>
      </c>
      <c r="F18" s="30">
        <v>1.2943529010556338</v>
      </c>
      <c r="G18" s="29">
        <v>6634</v>
      </c>
      <c r="H18" s="32">
        <v>14.516129032258066</v>
      </c>
      <c r="I18" s="34" t="s">
        <v>1</v>
      </c>
      <c r="J18" s="35" t="s">
        <v>1</v>
      </c>
      <c r="K18" s="31">
        <v>5428</v>
      </c>
      <c r="L18" s="30">
        <v>16.838614591009581</v>
      </c>
      <c r="M18" s="36">
        <v>1171</v>
      </c>
      <c r="N18" s="37">
        <v>34.92741246797609</v>
      </c>
      <c r="O18" s="29">
        <v>26500</v>
      </c>
      <c r="P18" s="30">
        <v>6.8264150943396231</v>
      </c>
      <c r="Q18" s="29">
        <v>6606.0503814284102</v>
      </c>
      <c r="R18" s="33">
        <v>14.058153909344453</v>
      </c>
    </row>
    <row r="19" spans="1:18" s="76" customFormat="1" ht="12.75" x14ac:dyDescent="0.2">
      <c r="A19" s="7" t="str">
        <f>VLOOKUP("&lt;Zeilentitel_5&gt;",Uebersetzungen!$B$3:$E$63,Uebersetzungen!$B$2+1,FALSE)</f>
        <v>Genf</v>
      </c>
      <c r="B19" s="115">
        <v>359847</v>
      </c>
      <c r="C19" s="29">
        <v>42103</v>
      </c>
      <c r="D19" s="30">
        <v>3.5365650903736077</v>
      </c>
      <c r="E19" s="31">
        <v>131979</v>
      </c>
      <c r="F19" s="30">
        <v>1.7631592904931845</v>
      </c>
      <c r="G19" s="29">
        <v>17999</v>
      </c>
      <c r="H19" s="32">
        <v>5.9781098949941667</v>
      </c>
      <c r="I19" s="29">
        <v>4249</v>
      </c>
      <c r="J19" s="30">
        <v>12.214638738526713</v>
      </c>
      <c r="K19" s="31">
        <v>18155</v>
      </c>
      <c r="L19" s="30">
        <v>6.2021481685486091</v>
      </c>
      <c r="M19" s="29">
        <v>4381</v>
      </c>
      <c r="N19" s="32">
        <v>12.554211367267747</v>
      </c>
      <c r="O19" s="29">
        <v>126462</v>
      </c>
      <c r="P19" s="30">
        <v>1.8432414480239123</v>
      </c>
      <c r="Q19" s="29">
        <v>14517.793977155488</v>
      </c>
      <c r="R19" s="33">
        <v>6.4338159846114555</v>
      </c>
    </row>
    <row r="20" spans="1:18" s="76" customFormat="1" ht="12.75" x14ac:dyDescent="0.2">
      <c r="A20" s="56" t="str">
        <f>VLOOKUP("&lt;Zeilentitel_6&gt;",Uebersetzungen!$B$3:$E$63,Uebersetzungen!$B$2+1,FALSE)</f>
        <v>Espace Mittelland</v>
      </c>
      <c r="B20" s="114">
        <v>1462524</v>
      </c>
      <c r="C20" s="57">
        <v>590778</v>
      </c>
      <c r="D20" s="58">
        <v>0.91083283399178705</v>
      </c>
      <c r="E20" s="59">
        <v>427158</v>
      </c>
      <c r="F20" s="58">
        <v>1.1805935976851656</v>
      </c>
      <c r="G20" s="57">
        <v>79562</v>
      </c>
      <c r="H20" s="60">
        <v>3.4777909052060028</v>
      </c>
      <c r="I20" s="62">
        <v>885.42156</v>
      </c>
      <c r="J20" s="63">
        <v>29.542813481975749</v>
      </c>
      <c r="K20" s="59">
        <v>54992</v>
      </c>
      <c r="L20" s="58">
        <v>4.5606633692173411</v>
      </c>
      <c r="M20" s="57">
        <v>16332</v>
      </c>
      <c r="N20" s="60">
        <v>8.155767817781042</v>
      </c>
      <c r="O20" s="57">
        <v>264503</v>
      </c>
      <c r="P20" s="58">
        <v>1.7251222103340982</v>
      </c>
      <c r="Q20" s="57">
        <v>28314.215280797158</v>
      </c>
      <c r="R20" s="61">
        <v>5.8296313140251339</v>
      </c>
    </row>
    <row r="21" spans="1:18" s="76" customFormat="1" ht="12.75" x14ac:dyDescent="0.2">
      <c r="A21" s="7" t="str">
        <f>VLOOKUP("&lt;Zeilentitel_7&gt;",Uebersetzungen!$B$3:$E$63,Uebersetzungen!$B$2+1,FALSE)</f>
        <v>Bern</v>
      </c>
      <c r="B21" s="115">
        <v>824336</v>
      </c>
      <c r="C21" s="29">
        <v>464998</v>
      </c>
      <c r="D21" s="30">
        <v>0.94409008210788004</v>
      </c>
      <c r="E21" s="31">
        <v>129897</v>
      </c>
      <c r="F21" s="30">
        <v>2.5096807470534346</v>
      </c>
      <c r="G21" s="29">
        <v>51381</v>
      </c>
      <c r="H21" s="32">
        <v>4.308985811875985</v>
      </c>
      <c r="I21" s="34">
        <v>582.67930999999999</v>
      </c>
      <c r="J21" s="35">
        <v>35.458018922964676</v>
      </c>
      <c r="K21" s="31">
        <v>27438</v>
      </c>
      <c r="L21" s="30">
        <v>6.3889496318973684</v>
      </c>
      <c r="M21" s="29">
        <v>11194</v>
      </c>
      <c r="N21" s="32">
        <v>9.6569590852242282</v>
      </c>
      <c r="O21" s="29">
        <v>125366</v>
      </c>
      <c r="P21" s="30">
        <v>2.5908140963259574</v>
      </c>
      <c r="Q21" s="29">
        <v>13479.348795177728</v>
      </c>
      <c r="R21" s="33">
        <v>8.5043011759323655</v>
      </c>
    </row>
    <row r="22" spans="1:18" s="76" customFormat="1" ht="12.75" x14ac:dyDescent="0.2">
      <c r="A22" s="7" t="str">
        <f>VLOOKUP("&lt;Zeilentitel_8&gt;",Uebersetzungen!$B$3:$E$63,Uebersetzungen!$B$2+1,FALSE)</f>
        <v>Freiburg</v>
      </c>
      <c r="B22" s="115">
        <v>224578</v>
      </c>
      <c r="C22" s="29">
        <v>31588</v>
      </c>
      <c r="D22" s="30">
        <v>5.8344941116879827</v>
      </c>
      <c r="E22" s="31">
        <v>141579</v>
      </c>
      <c r="F22" s="30">
        <v>1.8230104747172955</v>
      </c>
      <c r="G22" s="29">
        <v>8309</v>
      </c>
      <c r="H22" s="32">
        <v>12.251775183535925</v>
      </c>
      <c r="I22" s="34" t="s">
        <v>1</v>
      </c>
      <c r="J22" s="35" t="s">
        <v>1</v>
      </c>
      <c r="K22" s="31">
        <v>7255</v>
      </c>
      <c r="L22" s="30">
        <v>13.576843556168161</v>
      </c>
      <c r="M22" s="29">
        <v>1206</v>
      </c>
      <c r="N22" s="32">
        <v>32.752902155887234</v>
      </c>
      <c r="O22" s="29">
        <v>28470</v>
      </c>
      <c r="P22" s="30">
        <v>6.3400070249385321</v>
      </c>
      <c r="Q22" s="29">
        <v>6044.3171456965365</v>
      </c>
      <c r="R22" s="33">
        <v>14.218953733900628</v>
      </c>
    </row>
    <row r="23" spans="1:18" s="76" customFormat="1" ht="12.75" x14ac:dyDescent="0.2">
      <c r="A23" s="7" t="str">
        <f>VLOOKUP("&lt;Zeilentitel_9&gt;",Uebersetzungen!$B$3:$E$63,Uebersetzungen!$B$2+1,FALSE)</f>
        <v>Solothurn</v>
      </c>
      <c r="B23" s="115">
        <v>215052</v>
      </c>
      <c r="C23" s="29">
        <v>53052</v>
      </c>
      <c r="D23" s="30">
        <v>4.0601673829450355</v>
      </c>
      <c r="E23" s="31">
        <v>80123</v>
      </c>
      <c r="F23" s="30">
        <v>3.0615428778253433</v>
      </c>
      <c r="G23" s="29">
        <v>10114</v>
      </c>
      <c r="H23" s="32">
        <v>10.876013446707535</v>
      </c>
      <c r="I23" s="38" t="s">
        <v>1</v>
      </c>
      <c r="J23" s="30" t="s">
        <v>1</v>
      </c>
      <c r="K23" s="31">
        <v>14112</v>
      </c>
      <c r="L23" s="30">
        <v>9.7363945578231288</v>
      </c>
      <c r="M23" s="29">
        <v>2736</v>
      </c>
      <c r="N23" s="32">
        <v>22.551169590643276</v>
      </c>
      <c r="O23" s="29">
        <v>51906</v>
      </c>
      <c r="P23" s="30">
        <v>4.2403575694524713</v>
      </c>
      <c r="Q23" s="29">
        <v>2980.2837004854573</v>
      </c>
      <c r="R23" s="33">
        <v>20.21841625112544</v>
      </c>
    </row>
    <row r="24" spans="1:18" s="76" customFormat="1" ht="12.75" x14ac:dyDescent="0.2">
      <c r="A24" s="7" t="str">
        <f>VLOOKUP("&lt;Zeilentitel_10&gt;",Uebersetzungen!$B$3:$E$63,Uebersetzungen!$B$2+1,FALSE)</f>
        <v>Neuenburg</v>
      </c>
      <c r="B24" s="115">
        <v>141068</v>
      </c>
      <c r="C24" s="29">
        <v>35461</v>
      </c>
      <c r="D24" s="30">
        <v>3.3022193395561317</v>
      </c>
      <c r="E24" s="31">
        <v>35940</v>
      </c>
      <c r="F24" s="30">
        <v>3.3583750695603785</v>
      </c>
      <c r="G24" s="29">
        <v>7204</v>
      </c>
      <c r="H24" s="32">
        <v>8.4675180455302606</v>
      </c>
      <c r="I24" s="34">
        <v>132.17491000000001</v>
      </c>
      <c r="J24" s="35">
        <v>63.230797736121005</v>
      </c>
      <c r="K24" s="31">
        <v>4857</v>
      </c>
      <c r="L24" s="30">
        <v>10.850319127033147</v>
      </c>
      <c r="M24" s="29">
        <v>902.90341999999998</v>
      </c>
      <c r="N24" s="32">
        <v>24.930305391910025</v>
      </c>
      <c r="O24" s="29">
        <v>52145</v>
      </c>
      <c r="P24" s="30">
        <v>2.6023588071723078</v>
      </c>
      <c r="Q24" s="29">
        <v>4427.6422074645543</v>
      </c>
      <c r="R24" s="33">
        <v>10.956802207797784</v>
      </c>
    </row>
    <row r="25" spans="1:18" s="76" customFormat="1" ht="12.75" x14ac:dyDescent="0.2">
      <c r="A25" s="7" t="str">
        <f>VLOOKUP("&lt;Zeilentitel_11&gt;",Uebersetzungen!$B$3:$E$63,Uebersetzungen!$B$2+1,FALSE)</f>
        <v>Jura</v>
      </c>
      <c r="B25" s="115">
        <v>57490</v>
      </c>
      <c r="C25" s="29">
        <v>5680</v>
      </c>
      <c r="D25" s="30">
        <v>9.26056338028169</v>
      </c>
      <c r="E25" s="31">
        <v>39619</v>
      </c>
      <c r="F25" s="30">
        <v>2.0671899846033468</v>
      </c>
      <c r="G25" s="29">
        <v>2554</v>
      </c>
      <c r="H25" s="32">
        <v>14.565387627251368</v>
      </c>
      <c r="I25" s="38" t="s">
        <v>1</v>
      </c>
      <c r="J25" s="30" t="s">
        <v>1</v>
      </c>
      <c r="K25" s="39">
        <v>1330</v>
      </c>
      <c r="L25" s="35">
        <v>21.578947368421055</v>
      </c>
      <c r="M25" s="34">
        <v>292.48727000000002</v>
      </c>
      <c r="N25" s="37">
        <v>46.630624300332776</v>
      </c>
      <c r="O25" s="29">
        <v>6616</v>
      </c>
      <c r="P25" s="30">
        <v>8.6608222490931066</v>
      </c>
      <c r="Q25" s="34">
        <v>1382.623431972879</v>
      </c>
      <c r="R25" s="40">
        <v>19.594698437849676</v>
      </c>
    </row>
    <row r="26" spans="1:18" s="76" customFormat="1" ht="12.75" x14ac:dyDescent="0.2">
      <c r="A26" s="56" t="str">
        <f>VLOOKUP("&lt;Zeilentitel_12&gt;",Uebersetzungen!$B$3:$E$63,Uebersetzungen!$B$2+1,FALSE)</f>
        <v>Nordwestschweiz</v>
      </c>
      <c r="B26" s="116">
        <v>894692</v>
      </c>
      <c r="C26" s="57">
        <v>256921</v>
      </c>
      <c r="D26" s="58">
        <v>1.4856706925475145</v>
      </c>
      <c r="E26" s="59">
        <v>280929</v>
      </c>
      <c r="F26" s="58">
        <v>1.3967942077891566</v>
      </c>
      <c r="G26" s="57">
        <v>53056</v>
      </c>
      <c r="H26" s="60">
        <v>3.8958835946924002</v>
      </c>
      <c r="I26" s="57">
        <v>1841</v>
      </c>
      <c r="J26" s="58">
        <v>23.411189570885387</v>
      </c>
      <c r="K26" s="59">
        <v>51518</v>
      </c>
      <c r="L26" s="58">
        <v>4.1868861368841959</v>
      </c>
      <c r="M26" s="57">
        <v>11598</v>
      </c>
      <c r="N26" s="60">
        <v>9.0963959303328163</v>
      </c>
      <c r="O26" s="57">
        <v>225290</v>
      </c>
      <c r="P26" s="58">
        <v>1.6898220071907319</v>
      </c>
      <c r="Q26" s="57">
        <v>13539.136035097878</v>
      </c>
      <c r="R26" s="61">
        <v>8.1344927295880964</v>
      </c>
    </row>
    <row r="27" spans="1:18" s="76" customFormat="1" ht="12.75" x14ac:dyDescent="0.2">
      <c r="A27" s="7" t="str">
        <f>VLOOKUP("&lt;Zeilentitel_13&gt;",Uebersetzungen!$B$3:$E$63,Uebersetzungen!$B$2+1,FALSE)</f>
        <v>Basel-Stadt</v>
      </c>
      <c r="B27" s="115">
        <v>153239</v>
      </c>
      <c r="C27" s="29">
        <v>29156</v>
      </c>
      <c r="D27" s="30">
        <v>5.4808615722321301</v>
      </c>
      <c r="E27" s="31">
        <v>31259</v>
      </c>
      <c r="F27" s="30">
        <v>5.3008733484756387</v>
      </c>
      <c r="G27" s="29">
        <v>8722</v>
      </c>
      <c r="H27" s="32">
        <v>11.144232974088512</v>
      </c>
      <c r="I27" s="34">
        <v>1168</v>
      </c>
      <c r="J27" s="35">
        <v>30.479452054794521</v>
      </c>
      <c r="K27" s="31">
        <v>12252</v>
      </c>
      <c r="L27" s="30">
        <v>9.4841658504733921</v>
      </c>
      <c r="M27" s="29">
        <v>2785</v>
      </c>
      <c r="N27" s="32">
        <v>20.538599640933572</v>
      </c>
      <c r="O27" s="29">
        <v>64617</v>
      </c>
      <c r="P27" s="30">
        <v>3.1849203769905752</v>
      </c>
      <c r="Q27" s="29">
        <v>3280.3891481468472</v>
      </c>
      <c r="R27" s="33">
        <v>18.479864295240873</v>
      </c>
    </row>
    <row r="28" spans="1:18" s="76" customFormat="1" ht="12.75" x14ac:dyDescent="0.2">
      <c r="A28" s="7" t="str">
        <f>VLOOKUP("&lt;Zeilentitel_14&gt;",Uebersetzungen!$B$3:$E$63,Uebersetzungen!$B$2+1,FALSE)</f>
        <v>Basel-Landschaft</v>
      </c>
      <c r="B28" s="115">
        <v>231553</v>
      </c>
      <c r="C28" s="29">
        <v>79885</v>
      </c>
      <c r="D28" s="30">
        <v>3.0205921011453967</v>
      </c>
      <c r="E28" s="31">
        <v>67416</v>
      </c>
      <c r="F28" s="30">
        <v>3.5065859736561054</v>
      </c>
      <c r="G28" s="29">
        <v>12289</v>
      </c>
      <c r="H28" s="32">
        <v>9.7485556188461224</v>
      </c>
      <c r="I28" s="34">
        <v>337.41041999999999</v>
      </c>
      <c r="J28" s="35">
        <v>58.286335673924938</v>
      </c>
      <c r="K28" s="31">
        <v>9794</v>
      </c>
      <c r="L28" s="30">
        <v>11.823565448233612</v>
      </c>
      <c r="M28" s="29">
        <v>3018</v>
      </c>
      <c r="N28" s="32">
        <v>20.77534791252485</v>
      </c>
      <c r="O28" s="29">
        <v>54998</v>
      </c>
      <c r="P28" s="30">
        <v>4.091057856649333</v>
      </c>
      <c r="Q28" s="29">
        <v>3816.526407341757</v>
      </c>
      <c r="R28" s="33">
        <v>17.537008558953325</v>
      </c>
    </row>
    <row r="29" spans="1:18" s="76" customFormat="1" ht="12.75" x14ac:dyDescent="0.2">
      <c r="A29" s="7" t="str">
        <f>VLOOKUP("&lt;Zeilentitel_15&gt;",Uebersetzungen!$B$3:$E$63,Uebersetzungen!$B$2+1,FALSE)</f>
        <v>Aargau</v>
      </c>
      <c r="B29" s="115">
        <v>509900</v>
      </c>
      <c r="C29" s="29">
        <v>147880</v>
      </c>
      <c r="D29" s="30">
        <v>1.6824452258588043</v>
      </c>
      <c r="E29" s="31">
        <v>182255</v>
      </c>
      <c r="F29" s="30">
        <v>1.4583962031219995</v>
      </c>
      <c r="G29" s="29">
        <v>32046</v>
      </c>
      <c r="H29" s="32">
        <v>4.2907071085314854</v>
      </c>
      <c r="I29" s="34">
        <v>335.45504</v>
      </c>
      <c r="J29" s="35">
        <v>42.56041286486559</v>
      </c>
      <c r="K29" s="31">
        <v>29472</v>
      </c>
      <c r="L29" s="30">
        <v>4.7502714440825189</v>
      </c>
      <c r="M29" s="29">
        <v>5795</v>
      </c>
      <c r="N29" s="32">
        <v>10.819672131147541</v>
      </c>
      <c r="O29" s="29">
        <v>105675</v>
      </c>
      <c r="P29" s="30">
        <v>2.1556659569434586</v>
      </c>
      <c r="Q29" s="29">
        <v>6442.2204796092738</v>
      </c>
      <c r="R29" s="33">
        <v>9.7864896385735953</v>
      </c>
    </row>
    <row r="30" spans="1:18" s="76" customFormat="1" ht="12.75" x14ac:dyDescent="0.2">
      <c r="A30" s="7" t="str">
        <f>VLOOKUP("&lt;Zeilentitel_16&gt;",Uebersetzungen!$B$3:$E$63,Uebersetzungen!$B$2+1,FALSE)</f>
        <v>Zürich</v>
      </c>
      <c r="B30" s="117">
        <v>1153705</v>
      </c>
      <c r="C30" s="29">
        <v>391612</v>
      </c>
      <c r="D30" s="30">
        <v>1.2760078853559136</v>
      </c>
      <c r="E30" s="31">
        <v>321647</v>
      </c>
      <c r="F30" s="30">
        <v>1.4777069271592771</v>
      </c>
      <c r="G30" s="29">
        <v>75364</v>
      </c>
      <c r="H30" s="32">
        <v>3.5096332466429598</v>
      </c>
      <c r="I30" s="29">
        <v>5499</v>
      </c>
      <c r="J30" s="30">
        <v>10.16548463356974</v>
      </c>
      <c r="K30" s="31">
        <v>65875</v>
      </c>
      <c r="L30" s="30">
        <v>4.0182163187855791</v>
      </c>
      <c r="M30" s="29">
        <v>17377</v>
      </c>
      <c r="N30" s="32">
        <v>7.2912470506991998</v>
      </c>
      <c r="O30" s="29">
        <v>258833</v>
      </c>
      <c r="P30" s="30">
        <v>1.6840974682517298</v>
      </c>
      <c r="Q30" s="29">
        <v>17497.986361017513</v>
      </c>
      <c r="R30" s="33">
        <v>7.1616004766337475</v>
      </c>
    </row>
    <row r="31" spans="1:18" s="76" customFormat="1" ht="12.75" x14ac:dyDescent="0.2">
      <c r="A31" s="56" t="str">
        <f>VLOOKUP("&lt;Zeilentitel_17&gt;",Uebersetzungen!$B$3:$E$63,Uebersetzungen!$B$2+1,FALSE)</f>
        <v>Ostschweiz</v>
      </c>
      <c r="B31" s="114">
        <v>918863</v>
      </c>
      <c r="C31" s="57">
        <v>282091</v>
      </c>
      <c r="D31" s="58">
        <v>1.5693517340149101</v>
      </c>
      <c r="E31" s="59">
        <v>381259</v>
      </c>
      <c r="F31" s="58">
        <v>1.2713142509422728</v>
      </c>
      <c r="G31" s="57">
        <v>51907</v>
      </c>
      <c r="H31" s="60">
        <v>4.4849442271755251</v>
      </c>
      <c r="I31" s="64">
        <v>641.83815000000004</v>
      </c>
      <c r="J31" s="63">
        <v>44.108741432711653</v>
      </c>
      <c r="K31" s="59">
        <v>47730</v>
      </c>
      <c r="L31" s="58">
        <v>4.8837209302325579</v>
      </c>
      <c r="M31" s="57">
        <v>8980</v>
      </c>
      <c r="N31" s="60">
        <v>11.881959910913139</v>
      </c>
      <c r="O31" s="57">
        <v>133353</v>
      </c>
      <c r="P31" s="58">
        <v>2.6681064542979911</v>
      </c>
      <c r="Q31" s="57">
        <v>12901.191663005415</v>
      </c>
      <c r="R31" s="61">
        <v>9.2540002198477325</v>
      </c>
    </row>
    <row r="32" spans="1:18" s="76" customFormat="1" ht="12.75" x14ac:dyDescent="0.2">
      <c r="A32" s="7" t="str">
        <f>VLOOKUP("&lt;Zeilentitel_18&gt;",Uebersetzungen!$B$3:$E$63,Uebersetzungen!$B$2+1,FALSE)</f>
        <v>Glarus</v>
      </c>
      <c r="B32" s="115">
        <v>32272</v>
      </c>
      <c r="C32" s="29">
        <v>11183</v>
      </c>
      <c r="D32" s="30">
        <v>8.5397478315300006</v>
      </c>
      <c r="E32" s="31">
        <v>12559</v>
      </c>
      <c r="F32" s="30">
        <v>7.8987180508002224</v>
      </c>
      <c r="G32" s="36">
        <v>1341</v>
      </c>
      <c r="H32" s="37">
        <v>30.574198359433257</v>
      </c>
      <c r="I32" s="38" t="s">
        <v>1</v>
      </c>
      <c r="J32" s="30" t="s">
        <v>1</v>
      </c>
      <c r="K32" s="31">
        <v>1936</v>
      </c>
      <c r="L32" s="30">
        <v>27.84090909090909</v>
      </c>
      <c r="M32" s="34">
        <v>436.65028999999998</v>
      </c>
      <c r="N32" s="37">
        <v>62.498272931411549</v>
      </c>
      <c r="O32" s="29">
        <v>4105</v>
      </c>
      <c r="P32" s="30">
        <v>17.076735688185142</v>
      </c>
      <c r="Q32" s="38">
        <v>713.02843353468438</v>
      </c>
      <c r="R32" s="33">
        <v>41.959923070249182</v>
      </c>
    </row>
    <row r="33" spans="1:18" s="76" customFormat="1" ht="12.75" x14ac:dyDescent="0.2">
      <c r="A33" s="7" t="str">
        <f>VLOOKUP("&lt;Zeilentitel_19&gt;",Uebersetzungen!$B$3:$E$63,Uebersetzungen!$B$2+1,FALSE)</f>
        <v>Schaffhausen</v>
      </c>
      <c r="B33" s="115">
        <v>64315</v>
      </c>
      <c r="C33" s="29">
        <v>25848</v>
      </c>
      <c r="D33" s="30">
        <v>5.1222531723924485</v>
      </c>
      <c r="E33" s="31">
        <v>14922</v>
      </c>
      <c r="F33" s="30">
        <v>7.8675780726444184</v>
      </c>
      <c r="G33" s="29">
        <v>4667</v>
      </c>
      <c r="H33" s="32">
        <v>15.534604671094923</v>
      </c>
      <c r="I33" s="38" t="s">
        <v>1</v>
      </c>
      <c r="J33" s="30" t="s">
        <v>1</v>
      </c>
      <c r="K33" s="31">
        <v>4154</v>
      </c>
      <c r="L33" s="30">
        <v>17.934520943668751</v>
      </c>
      <c r="M33" s="36">
        <v>588.98686999999995</v>
      </c>
      <c r="N33" s="37">
        <v>47.364931921147935</v>
      </c>
      <c r="O33" s="29">
        <v>13259</v>
      </c>
      <c r="P33" s="30">
        <v>8.5300550569424534</v>
      </c>
      <c r="Q33" s="34">
        <v>786.18033644910918</v>
      </c>
      <c r="R33" s="40">
        <v>39.006966609696867</v>
      </c>
    </row>
    <row r="34" spans="1:18" s="76" customFormat="1" ht="12.75" x14ac:dyDescent="0.2">
      <c r="A34" s="7" t="str">
        <f>VLOOKUP("&lt;Zeilentitel_20&gt;",Uebersetzungen!$B$3:$E$63,Uebersetzungen!$B$2+1,FALSE)</f>
        <v>Appenzell Ausserrhoden</v>
      </c>
      <c r="B34" s="115">
        <v>44128</v>
      </c>
      <c r="C34" s="29">
        <v>18459</v>
      </c>
      <c r="D34" s="30">
        <v>6.0024920093179484</v>
      </c>
      <c r="E34" s="31">
        <v>13686</v>
      </c>
      <c r="F34" s="30">
        <v>7.6793803887183989</v>
      </c>
      <c r="G34" s="29">
        <v>3294</v>
      </c>
      <c r="H34" s="32">
        <v>18.609593199757136</v>
      </c>
      <c r="I34" s="38" t="s">
        <v>1</v>
      </c>
      <c r="J34" s="30" t="s">
        <v>1</v>
      </c>
      <c r="K34" s="39">
        <v>1283</v>
      </c>
      <c r="L34" s="35">
        <v>32.268121590023384</v>
      </c>
      <c r="M34" s="34">
        <v>292.21850999999998</v>
      </c>
      <c r="N34" s="37">
        <v>64.360597827974686</v>
      </c>
      <c r="O34" s="29">
        <v>6528</v>
      </c>
      <c r="P34" s="30">
        <v>12.392769607843137</v>
      </c>
      <c r="Q34" s="34">
        <v>548.83650638082293</v>
      </c>
      <c r="R34" s="40">
        <v>46.988484334812817</v>
      </c>
    </row>
    <row r="35" spans="1:18" s="76" customFormat="1" ht="12.75" x14ac:dyDescent="0.2">
      <c r="A35" s="7" t="str">
        <f>VLOOKUP("&lt;Zeilentitel_21&gt;",Uebersetzungen!$B$3:$E$63,Uebersetzungen!$B$2+1,FALSE)</f>
        <v>Appenzell Innerrhoden</v>
      </c>
      <c r="B35" s="115">
        <v>12814</v>
      </c>
      <c r="C35" s="29">
        <v>1162</v>
      </c>
      <c r="D35" s="30">
        <v>30.808950086058516</v>
      </c>
      <c r="E35" s="31">
        <v>9478</v>
      </c>
      <c r="F35" s="30">
        <v>5.7079552648238021</v>
      </c>
      <c r="G35" s="34">
        <v>235.87616</v>
      </c>
      <c r="H35" s="37">
        <v>72.704770164140371</v>
      </c>
      <c r="I35" s="38" t="s">
        <v>1</v>
      </c>
      <c r="J35" s="30" t="s">
        <v>1</v>
      </c>
      <c r="K35" s="41">
        <v>586.26675999999998</v>
      </c>
      <c r="L35" s="35">
        <v>49.357168057762657</v>
      </c>
      <c r="M35" s="34" t="s">
        <v>1</v>
      </c>
      <c r="N35" s="37" t="s">
        <v>1</v>
      </c>
      <c r="O35" s="36">
        <v>939.78949</v>
      </c>
      <c r="P35" s="35">
        <v>36.839155330413412</v>
      </c>
      <c r="Q35" s="38">
        <v>300.9762125481675</v>
      </c>
      <c r="R35" s="33">
        <v>63.764275573314407</v>
      </c>
    </row>
    <row r="36" spans="1:18" s="76" customFormat="1" ht="12.75" x14ac:dyDescent="0.2">
      <c r="A36" s="7" t="str">
        <f>VLOOKUP("&lt;Zeilentitel_22&gt;",Uebersetzungen!$B$3:$E$63,Uebersetzungen!$B$2+1,FALSE)</f>
        <v>St. Gallen</v>
      </c>
      <c r="B36" s="115">
        <v>395992</v>
      </c>
      <c r="C36" s="29">
        <v>90868</v>
      </c>
      <c r="D36" s="30">
        <v>3.1804375577761146</v>
      </c>
      <c r="E36" s="31">
        <v>190574</v>
      </c>
      <c r="F36" s="30">
        <v>1.8150429754321156</v>
      </c>
      <c r="G36" s="29">
        <v>23621</v>
      </c>
      <c r="H36" s="32">
        <v>7.129249396723254</v>
      </c>
      <c r="I36" s="34">
        <v>225.86089000000001</v>
      </c>
      <c r="J36" s="35">
        <v>73.06267587983028</v>
      </c>
      <c r="K36" s="31">
        <v>25225</v>
      </c>
      <c r="L36" s="30">
        <v>7.0564915758176419</v>
      </c>
      <c r="M36" s="29">
        <v>4439</v>
      </c>
      <c r="N36" s="32">
        <v>17.95449425546294</v>
      </c>
      <c r="O36" s="29">
        <v>55702</v>
      </c>
      <c r="P36" s="30">
        <v>4.4343111557933286</v>
      </c>
      <c r="Q36" s="29">
        <v>5337.5397309615391</v>
      </c>
      <c r="R36" s="33">
        <v>15.183094374132528</v>
      </c>
    </row>
    <row r="37" spans="1:18" s="76" customFormat="1" ht="12.75" x14ac:dyDescent="0.2">
      <c r="A37" s="65" t="str">
        <f>VLOOKUP("&lt;Zeilentitel_23&gt;",Uebersetzungen!$B$3:$E$63,Uebersetzungen!$B$2+1,FALSE)</f>
        <v>Graubünden</v>
      </c>
      <c r="B37" s="118">
        <v>162865</v>
      </c>
      <c r="C37" s="66">
        <v>57642</v>
      </c>
      <c r="D37" s="67">
        <v>3.6345026196176398</v>
      </c>
      <c r="E37" s="68">
        <v>72143</v>
      </c>
      <c r="F37" s="67">
        <v>3.0883107162164034</v>
      </c>
      <c r="G37" s="66">
        <v>6050</v>
      </c>
      <c r="H37" s="69">
        <v>14.24793388429752</v>
      </c>
      <c r="I37" s="70" t="s">
        <v>1</v>
      </c>
      <c r="J37" s="67" t="s">
        <v>1</v>
      </c>
      <c r="K37" s="68">
        <v>2651</v>
      </c>
      <c r="L37" s="67">
        <v>22.897019992455679</v>
      </c>
      <c r="M37" s="71">
        <v>1213</v>
      </c>
      <c r="N37" s="72">
        <v>34.130255564715583</v>
      </c>
      <c r="O37" s="66">
        <v>20402</v>
      </c>
      <c r="P37" s="67">
        <v>7.3767277717870794</v>
      </c>
      <c r="Q37" s="73">
        <v>2608.0209383405459</v>
      </c>
      <c r="R37" s="74">
        <v>21.542840934291853</v>
      </c>
    </row>
    <row r="38" spans="1:18" s="76" customFormat="1" ht="12.75" x14ac:dyDescent="0.2">
      <c r="A38" s="7" t="str">
        <f>VLOOKUP("&lt;Zeilentitel_24&gt;",Uebersetzungen!$B$3:$E$63,Uebersetzungen!$B$2+1,FALSE)</f>
        <v>Thurgau</v>
      </c>
      <c r="B38" s="115">
        <v>206477</v>
      </c>
      <c r="C38" s="29">
        <v>76929</v>
      </c>
      <c r="D38" s="30">
        <v>2.1903313444864745</v>
      </c>
      <c r="E38" s="31">
        <v>67898</v>
      </c>
      <c r="F38" s="30">
        <v>2.4625173053698197</v>
      </c>
      <c r="G38" s="29">
        <v>12698</v>
      </c>
      <c r="H38" s="32">
        <v>6.7805953693495038</v>
      </c>
      <c r="I38" s="34">
        <v>103.74269</v>
      </c>
      <c r="J38" s="35">
        <v>77.681820280542169</v>
      </c>
      <c r="K38" s="31">
        <v>11894</v>
      </c>
      <c r="L38" s="30">
        <v>7.5079872204472844</v>
      </c>
      <c r="M38" s="29">
        <v>1930</v>
      </c>
      <c r="N38" s="32">
        <v>18.652849740932641</v>
      </c>
      <c r="O38" s="29">
        <v>32417</v>
      </c>
      <c r="P38" s="30">
        <v>4.0781071659931518</v>
      </c>
      <c r="Q38" s="29">
        <v>2606.6095047905446</v>
      </c>
      <c r="R38" s="33">
        <v>15.631897212495597</v>
      </c>
    </row>
    <row r="39" spans="1:18" s="76" customFormat="1" ht="12.75" x14ac:dyDescent="0.2">
      <c r="A39" s="56" t="str">
        <f>VLOOKUP("&lt;Zeilentitel_25&gt;",Uebersetzungen!$B$3:$E$63,Uebersetzungen!$B$2+1,FALSE)</f>
        <v>Zentralschweiz</v>
      </c>
      <c r="B39" s="116">
        <v>618373</v>
      </c>
      <c r="C39" s="57">
        <v>69412</v>
      </c>
      <c r="D39" s="58">
        <v>3.1478706851841185</v>
      </c>
      <c r="E39" s="59">
        <v>404712</v>
      </c>
      <c r="F39" s="58">
        <v>0.81292375812923767</v>
      </c>
      <c r="G39" s="57">
        <v>24058</v>
      </c>
      <c r="H39" s="60">
        <v>5.8317399617590828</v>
      </c>
      <c r="I39" s="64">
        <v>498.84165000000002</v>
      </c>
      <c r="J39" s="63">
        <v>42.482086249213552</v>
      </c>
      <c r="K39" s="59">
        <v>22385</v>
      </c>
      <c r="L39" s="58">
        <v>6.3211972302881394</v>
      </c>
      <c r="M39" s="57">
        <v>6097</v>
      </c>
      <c r="N39" s="60">
        <v>11.710677382319174</v>
      </c>
      <c r="O39" s="57">
        <v>82409</v>
      </c>
      <c r="P39" s="58">
        <v>2.924437864796321</v>
      </c>
      <c r="Q39" s="57">
        <v>8800.9092700674046</v>
      </c>
      <c r="R39" s="61">
        <v>9.7283526686465862</v>
      </c>
    </row>
    <row r="40" spans="1:18" s="76" customFormat="1" ht="12.75" x14ac:dyDescent="0.2">
      <c r="A40" s="7" t="str">
        <f>VLOOKUP("&lt;Zeilentitel_26&gt;",Uebersetzungen!$B$3:$E$63,Uebersetzungen!$B$2+1,FALSE)</f>
        <v>Luzern</v>
      </c>
      <c r="B40" s="115">
        <v>310985</v>
      </c>
      <c r="C40" s="29">
        <v>34324</v>
      </c>
      <c r="D40" s="30">
        <v>3.8573592821349494</v>
      </c>
      <c r="E40" s="31">
        <v>203212</v>
      </c>
      <c r="F40" s="30">
        <v>0.98517804066688974</v>
      </c>
      <c r="G40" s="29">
        <v>12433</v>
      </c>
      <c r="H40" s="32">
        <v>6.9814204134159095</v>
      </c>
      <c r="I40" s="34">
        <v>147.01947000000001</v>
      </c>
      <c r="J40" s="35">
        <v>63.518246936953304</v>
      </c>
      <c r="K40" s="31">
        <v>11626</v>
      </c>
      <c r="L40" s="30">
        <v>7.5348357130569408</v>
      </c>
      <c r="M40" s="29">
        <v>3560</v>
      </c>
      <c r="N40" s="32">
        <v>13.511235955056181</v>
      </c>
      <c r="O40" s="29">
        <v>41327</v>
      </c>
      <c r="P40" s="30">
        <v>3.5521571853751785</v>
      </c>
      <c r="Q40" s="29">
        <v>4356.141729251156</v>
      </c>
      <c r="R40" s="33">
        <v>11.648550845433785</v>
      </c>
    </row>
    <row r="41" spans="1:18" s="76" customFormat="1" ht="12.75" x14ac:dyDescent="0.2">
      <c r="A41" s="7" t="str">
        <f>VLOOKUP("&lt;Zeilentitel_27&gt;",Uebersetzungen!$B$3:$E$63,Uebersetzungen!$B$2+1,FALSE)</f>
        <v>Uri</v>
      </c>
      <c r="B41" s="115">
        <v>28915</v>
      </c>
      <c r="C41" s="34">
        <v>991.69039999999995</v>
      </c>
      <c r="D41" s="35">
        <v>31.996840949554421</v>
      </c>
      <c r="E41" s="31">
        <v>24283</v>
      </c>
      <c r="F41" s="30">
        <v>2.6520611127125973</v>
      </c>
      <c r="G41" s="34">
        <v>973.81622000000004</v>
      </c>
      <c r="H41" s="37">
        <v>34.52230237035895</v>
      </c>
      <c r="I41" s="29" t="s">
        <v>1</v>
      </c>
      <c r="J41" s="30" t="s">
        <v>1</v>
      </c>
      <c r="K41" s="41">
        <v>552.22429</v>
      </c>
      <c r="L41" s="35">
        <v>49.02157780853863</v>
      </c>
      <c r="M41" s="34" t="s">
        <v>1</v>
      </c>
      <c r="N41" s="37" t="s">
        <v>1</v>
      </c>
      <c r="O41" s="29">
        <v>1555</v>
      </c>
      <c r="P41" s="30">
        <v>26.94533762057878</v>
      </c>
      <c r="Q41" s="38">
        <v>460.04564141867951</v>
      </c>
      <c r="R41" s="33">
        <v>47.885192035181795</v>
      </c>
    </row>
    <row r="42" spans="1:18" s="76" customFormat="1" ht="12.75" x14ac:dyDescent="0.2">
      <c r="A42" s="7" t="str">
        <f>VLOOKUP("&lt;Zeilentitel_28&gt;",Uebersetzungen!$B$3:$E$63,Uebersetzungen!$B$2+1,FALSE)</f>
        <v>Schwyz</v>
      </c>
      <c r="B42" s="115">
        <v>121348</v>
      </c>
      <c r="C42" s="29">
        <v>13785</v>
      </c>
      <c r="D42" s="30">
        <v>8.8792165397170848</v>
      </c>
      <c r="E42" s="31">
        <v>79591</v>
      </c>
      <c r="F42" s="30">
        <v>2.3105627520699579</v>
      </c>
      <c r="G42" s="29">
        <v>4763</v>
      </c>
      <c r="H42" s="32">
        <v>16.523199664077261</v>
      </c>
      <c r="I42" s="34" t="s">
        <v>1</v>
      </c>
      <c r="J42" s="35" t="s">
        <v>1</v>
      </c>
      <c r="K42" s="31">
        <v>4516</v>
      </c>
      <c r="L42" s="30">
        <v>17.736935341009744</v>
      </c>
      <c r="M42" s="36">
        <v>1120</v>
      </c>
      <c r="N42" s="37">
        <v>35.446428571428577</v>
      </c>
      <c r="O42" s="29">
        <v>15568</v>
      </c>
      <c r="P42" s="30">
        <v>8.376156217882837</v>
      </c>
      <c r="Q42" s="34">
        <v>1860.2916749727003</v>
      </c>
      <c r="R42" s="40">
        <v>25.979717771651359</v>
      </c>
    </row>
    <row r="43" spans="1:18" s="76" customFormat="1" ht="12.75" x14ac:dyDescent="0.2">
      <c r="A43" s="7" t="str">
        <f>VLOOKUP("&lt;Zeilentitel_29&gt;",Uebersetzungen!$B$3:$E$63,Uebersetzungen!$B$2+1,FALSE)</f>
        <v>Obwalden</v>
      </c>
      <c r="B43" s="115">
        <v>29328</v>
      </c>
      <c r="C43" s="29">
        <v>2351</v>
      </c>
      <c r="D43" s="30">
        <v>22.458528285835815</v>
      </c>
      <c r="E43" s="31">
        <v>22007</v>
      </c>
      <c r="F43" s="30">
        <v>3.8351433634752583</v>
      </c>
      <c r="G43" s="34">
        <v>751.31488999999999</v>
      </c>
      <c r="H43" s="37">
        <v>43.215583016064016</v>
      </c>
      <c r="I43" s="38" t="s">
        <v>1</v>
      </c>
      <c r="J43" s="30" t="s">
        <v>1</v>
      </c>
      <c r="K43" s="39">
        <v>872.10290999999995</v>
      </c>
      <c r="L43" s="35">
        <v>41.726393276224712</v>
      </c>
      <c r="M43" s="34" t="s">
        <v>1</v>
      </c>
      <c r="N43" s="37" t="s">
        <v>1</v>
      </c>
      <c r="O43" s="29">
        <v>2916</v>
      </c>
      <c r="P43" s="30">
        <v>20.541838134430726</v>
      </c>
      <c r="Q43" s="34">
        <v>380.62839043848174</v>
      </c>
      <c r="R43" s="40">
        <v>58.100807977162816</v>
      </c>
    </row>
    <row r="44" spans="1:18" s="76" customFormat="1" ht="12.75" x14ac:dyDescent="0.2">
      <c r="A44" s="7" t="str">
        <f>VLOOKUP("&lt;Zeilentitel_30&gt;",Uebersetzungen!$B$3:$E$63,Uebersetzungen!$B$2+1,FALSE)</f>
        <v>Nidwalden</v>
      </c>
      <c r="B44" s="115">
        <v>34624</v>
      </c>
      <c r="C44" s="29">
        <v>3439</v>
      </c>
      <c r="D44" s="30">
        <v>17.679558011049721</v>
      </c>
      <c r="E44" s="31">
        <v>24427</v>
      </c>
      <c r="F44" s="30">
        <v>3.8236377778687518</v>
      </c>
      <c r="G44" s="34">
        <v>752.35757999999998</v>
      </c>
      <c r="H44" s="37">
        <v>41.289199212959346</v>
      </c>
      <c r="I44" s="38" t="s">
        <v>1</v>
      </c>
      <c r="J44" s="30" t="s">
        <v>1</v>
      </c>
      <c r="K44" s="41">
        <v>760.44681000000003</v>
      </c>
      <c r="L44" s="35">
        <v>43.205282168255785</v>
      </c>
      <c r="M44" s="38" t="s">
        <v>1</v>
      </c>
      <c r="N44" s="32" t="s">
        <v>1</v>
      </c>
      <c r="O44" s="29">
        <v>4507</v>
      </c>
      <c r="P44" s="30">
        <v>15.66452185489239</v>
      </c>
      <c r="Q44" s="34">
        <v>558.1190417574104</v>
      </c>
      <c r="R44" s="40">
        <v>46.914635887472791</v>
      </c>
    </row>
    <row r="45" spans="1:18" s="76" customFormat="1" ht="12.75" x14ac:dyDescent="0.2">
      <c r="A45" s="7" t="str">
        <f>VLOOKUP("&lt;Zeilentitel_31&gt;",Uebersetzungen!$B$3:$E$63,Uebersetzungen!$B$2+1,FALSE)</f>
        <v>Zug</v>
      </c>
      <c r="B45" s="115">
        <v>93173</v>
      </c>
      <c r="C45" s="29">
        <v>14521</v>
      </c>
      <c r="D45" s="30">
        <v>6.0533021141794645</v>
      </c>
      <c r="E45" s="31">
        <v>51192</v>
      </c>
      <c r="F45" s="30">
        <v>2.338255977496484</v>
      </c>
      <c r="G45" s="29">
        <v>4384</v>
      </c>
      <c r="H45" s="32">
        <v>12.089416058394161</v>
      </c>
      <c r="I45" s="34">
        <v>178.28197</v>
      </c>
      <c r="J45" s="35">
        <v>64.165826751858305</v>
      </c>
      <c r="K45" s="31">
        <v>4059</v>
      </c>
      <c r="L45" s="30">
        <v>13.032766691303276</v>
      </c>
      <c r="M45" s="29">
        <v>1117</v>
      </c>
      <c r="N45" s="32">
        <v>25.514771709937335</v>
      </c>
      <c r="O45" s="29">
        <v>16536</v>
      </c>
      <c r="P45" s="30">
        <v>5.799467827769714</v>
      </c>
      <c r="Q45" s="34">
        <v>1185.682792228976</v>
      </c>
      <c r="R45" s="40">
        <v>23.249960359217134</v>
      </c>
    </row>
    <row r="46" spans="1:18" s="76" customFormat="1" ht="13.5" thickBot="1" x14ac:dyDescent="0.25">
      <c r="A46" s="129" t="str">
        <f>VLOOKUP("&lt;Zeilentitel_32&gt;",Uebersetzungen!$B$3:$E$63,Uebersetzungen!$B$2+1,FALSE)</f>
        <v>Tessin</v>
      </c>
      <c r="B46" s="130">
        <v>281693</v>
      </c>
      <c r="C46" s="131">
        <v>12648</v>
      </c>
      <c r="D46" s="132">
        <v>6.5306767868437703</v>
      </c>
      <c r="E46" s="133">
        <v>194530</v>
      </c>
      <c r="F46" s="132">
        <v>0.95769290083791703</v>
      </c>
      <c r="G46" s="131">
        <v>14683</v>
      </c>
      <c r="H46" s="134">
        <v>6.2385071170741675</v>
      </c>
      <c r="I46" s="135">
        <v>195.38625999999999</v>
      </c>
      <c r="J46" s="136">
        <v>58.478902252389716</v>
      </c>
      <c r="K46" s="133">
        <v>4960</v>
      </c>
      <c r="L46" s="132">
        <v>11.350806451612904</v>
      </c>
      <c r="M46" s="131">
        <v>1729</v>
      </c>
      <c r="N46" s="134">
        <v>18.970503181029496</v>
      </c>
      <c r="O46" s="131">
        <v>44800</v>
      </c>
      <c r="P46" s="132">
        <v>3.3348214285714288</v>
      </c>
      <c r="Q46" s="131">
        <v>8147.5107842981251</v>
      </c>
      <c r="R46" s="137">
        <v>8.2828882776797368</v>
      </c>
    </row>
    <row r="47" spans="1:18" s="76" customFormat="1" ht="12.75" x14ac:dyDescent="0.2">
      <c r="A47" s="8"/>
      <c r="B47" s="5"/>
      <c r="C47" s="9"/>
      <c r="D47" s="10"/>
      <c r="E47" s="10"/>
      <c r="F47" s="10"/>
      <c r="G47" s="11"/>
      <c r="H47" s="12"/>
      <c r="I47" s="11"/>
      <c r="J47" s="12"/>
      <c r="K47" s="11"/>
      <c r="L47" s="12"/>
      <c r="M47" s="11"/>
      <c r="N47" s="12"/>
      <c r="O47" s="11"/>
      <c r="P47" s="12"/>
      <c r="Q47" s="11"/>
      <c r="R47" s="12"/>
    </row>
    <row r="48" spans="1:18" s="76" customFormat="1" ht="12.75" x14ac:dyDescent="0.2">
      <c r="A48" s="16" t="str">
        <f>VLOOKUP("&lt;Legende_1&gt;",Uebersetzungen!$B$3:$E$63,Uebersetzungen!$B$2+1,FALSE)</f>
        <v xml:space="preserve">Ab 2010 stammen die Daten aus einer Stichprobenerhebung der ständigen Wohnbevölkerung ab vollendetem 15. Altersjahr, die in Privathaushalten lebt. </v>
      </c>
      <c r="B48" s="5"/>
      <c r="C48" s="9"/>
      <c r="D48" s="10"/>
      <c r="E48" s="10"/>
      <c r="F48" s="10"/>
      <c r="G48" s="11"/>
      <c r="H48" s="12"/>
      <c r="I48" s="11"/>
      <c r="J48" s="12"/>
      <c r="K48" s="11"/>
      <c r="L48" s="12"/>
      <c r="M48" s="11"/>
      <c r="N48" s="12"/>
      <c r="O48" s="11"/>
      <c r="P48" s="12"/>
      <c r="Q48" s="11"/>
      <c r="R48" s="12"/>
    </row>
    <row r="49" spans="1:18" s="76" customFormat="1" ht="12.75" x14ac:dyDescent="0.2">
      <c r="A49" s="16" t="str">
        <f>VLOOKUP("&lt;Legende_2&gt;",Uebersetzungen!$B$3:$E$63,Uebersetzungen!$B$2+1,FALSE)</f>
        <v>Nicht befragt wurden Diplomaten, internationale Funktionäre und deren Familienangehörige. Diese Daten sind mit jenen der frühreren Jahre nicht direkt vergleichbar.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s="76" customFormat="1" ht="12.75" x14ac:dyDescent="0.2">
      <c r="A50" s="16" t="str">
        <f>VLOOKUP("&lt;Legende_3&gt;",Uebersetzungen!$B$3:$E$63,Uebersetzungen!$B$2+1,FALSE)</f>
        <v>Das Vertrauensintervall zeigt die Genauigkeit der Resultate einer Stichprobenerhebung.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1:18" s="76" customFormat="1" ht="12.75" x14ac:dyDescent="0.2">
      <c r="A51" s="16" t="str">
        <f>VLOOKUP("&lt;Legende_4&gt;",Uebersetzungen!$B$3:$E$63,Uebersetzungen!$B$2+1,FALSE)</f>
        <v>(): Extrapolation aufgrund von 49 oder weniger Beobachtungen. Die Resultate sind mit grosser Vorsicht zu interpretieren.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s="76" customFormat="1" ht="12.75" x14ac:dyDescent="0.2">
      <c r="A52" s="13" t="str">
        <f>VLOOKUP("&lt;Legende_5&gt;",Uebersetzungen!$B$3:$E$63,Uebersetzungen!$B$2+1,FALSE)</f>
        <v>X: Extrapolation aufgrund von 4 oder weniger Beobachtungen. Die Resultate werden aus Gründen des Datenschutzes nicht publiziert.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s="76" customFormat="1" ht="12.75" x14ac:dyDescent="0.2">
      <c r="A53" s="13" t="str">
        <f>VLOOKUP("&lt;Legende_6&gt;",Uebersetzungen!$B$3:$E$63,Uebersetzungen!$B$2+1,FALSE)</f>
        <v>* inkl. andere aus dem Islam hervorgegangene Gemeinschaften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 s="76" customFormat="1" ht="12.75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18" s="76" customFormat="1" ht="12.75" x14ac:dyDescent="0.2">
      <c r="A55" s="16" t="str">
        <f>VLOOKUP("&lt;quelle_1&gt;",Uebersetzungen!$B$3:$E$63,Uebersetzungen!$B$2+1,FALSE)</f>
        <v>Quelle: BFS (Strukturerhebung)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8" s="76" customFormat="1" ht="12.75" x14ac:dyDescent="0.2">
      <c r="A56" s="13" t="str">
        <f>VLOOKUP("&lt;aktualisierung&gt;",Uebersetzungen!$B$3:$E$213,Uebersetzungen!$B$2+1,FALSE)</f>
        <v>Letztmals aktualisiert am: 29.01.2026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</sheetData>
  <sheetProtection sheet="1" objects="1" scenarios="1"/>
  <mergeCells count="11">
    <mergeCell ref="Q13:R13"/>
    <mergeCell ref="A7:D7"/>
    <mergeCell ref="B12:R12"/>
    <mergeCell ref="B13:B14"/>
    <mergeCell ref="C13:D13"/>
    <mergeCell ref="E13:F13"/>
    <mergeCell ref="G13:H13"/>
    <mergeCell ref="I13:J13"/>
    <mergeCell ref="K13:L13"/>
    <mergeCell ref="M13:N13"/>
    <mergeCell ref="O13:P13"/>
  </mergeCells>
  <pageMargins left="0.7" right="0.7" top="0.75" bottom="0.75" header="0.3" footer="0.3"/>
  <pageSetup paperSize="9" orientation="portrait" r:id="rId1"/>
  <ignoredErrors>
    <ignoredError sqref="D14 F14 H14 J14 L14 N14 P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Option Button 1">
              <controlPr defaultSize="0" autoFill="0" autoLine="0" autoPict="0">
                <anchor moveWithCells="1">
                  <from>
                    <xdr:col>6</xdr:col>
                    <xdr:colOff>295275</xdr:colOff>
                    <xdr:row>1</xdr:row>
                    <xdr:rowOff>114300</xdr:rowOff>
                  </from>
                  <to>
                    <xdr:col>7</xdr:col>
                    <xdr:colOff>695325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Option Button 2">
              <controlPr defaultSize="0" autoFill="0" autoLine="0" autoPict="0">
                <anchor moveWithCells="1">
                  <from>
                    <xdr:col>6</xdr:col>
                    <xdr:colOff>295275</xdr:colOff>
                    <xdr:row>2</xdr:row>
                    <xdr:rowOff>104775</xdr:rowOff>
                  </from>
                  <to>
                    <xdr:col>8</xdr:col>
                    <xdr:colOff>276225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Option Button 3">
              <controlPr defaultSize="0" autoFill="0" autoLine="0" autoPict="0">
                <anchor moveWithCells="1">
                  <from>
                    <xdr:col>6</xdr:col>
                    <xdr:colOff>295275</xdr:colOff>
                    <xdr:row>3</xdr:row>
                    <xdr:rowOff>66675</xdr:rowOff>
                  </from>
                  <to>
                    <xdr:col>7</xdr:col>
                    <xdr:colOff>695325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63"/>
  <sheetViews>
    <sheetView topLeftCell="A21" workbookViewId="0">
      <selection activeCell="G61" sqref="G61"/>
    </sheetView>
  </sheetViews>
  <sheetFormatPr baseColWidth="10" defaultColWidth="12.5703125" defaultRowHeight="12.75" x14ac:dyDescent="0.25"/>
  <cols>
    <col min="1" max="1" width="9.85546875" style="45" customWidth="1"/>
    <col min="2" max="2" width="30" style="45" customWidth="1"/>
    <col min="3" max="5" width="46.28515625" style="50" customWidth="1"/>
    <col min="6" max="6" width="22.42578125" style="45" customWidth="1"/>
    <col min="7" max="16384" width="12.5703125" style="45"/>
  </cols>
  <sheetData>
    <row r="1" spans="1:6" x14ac:dyDescent="0.25">
      <c r="A1" s="42" t="s">
        <v>41</v>
      </c>
      <c r="B1" s="42" t="s">
        <v>42</v>
      </c>
      <c r="C1" s="43" t="s">
        <v>43</v>
      </c>
      <c r="D1" s="43" t="s">
        <v>44</v>
      </c>
      <c r="E1" s="43" t="s">
        <v>45</v>
      </c>
      <c r="F1" s="44"/>
    </row>
    <row r="2" spans="1:6" x14ac:dyDescent="0.25">
      <c r="A2" s="46" t="s">
        <v>46</v>
      </c>
      <c r="B2" s="47">
        <v>1</v>
      </c>
      <c r="C2" s="48"/>
      <c r="D2" s="48"/>
      <c r="E2" s="48"/>
      <c r="F2" s="44"/>
    </row>
    <row r="3" spans="1:6" x14ac:dyDescent="0.25">
      <c r="A3" s="46"/>
      <c r="B3" s="45" t="s">
        <v>47</v>
      </c>
      <c r="C3" s="50" t="s">
        <v>48</v>
      </c>
      <c r="D3" s="50" t="s">
        <v>49</v>
      </c>
      <c r="E3" s="50" t="s">
        <v>50</v>
      </c>
      <c r="F3" s="44"/>
    </row>
    <row r="4" spans="1:6" x14ac:dyDescent="0.25">
      <c r="A4" s="46" t="s">
        <v>51</v>
      </c>
      <c r="B4" s="45" t="s">
        <v>52</v>
      </c>
      <c r="C4" s="50" t="s">
        <v>203</v>
      </c>
      <c r="D4" s="50" t="s">
        <v>188</v>
      </c>
      <c r="E4" s="50" t="s">
        <v>187</v>
      </c>
      <c r="F4" s="44"/>
    </row>
    <row r="5" spans="1:6" x14ac:dyDescent="0.25">
      <c r="A5" s="46"/>
      <c r="B5" s="45" t="s">
        <v>53</v>
      </c>
      <c r="C5" s="50" t="s">
        <v>214</v>
      </c>
      <c r="D5" s="50" t="s">
        <v>215</v>
      </c>
      <c r="E5" s="50" t="s">
        <v>216</v>
      </c>
      <c r="F5" s="44"/>
    </row>
    <row r="6" spans="1:6" x14ac:dyDescent="0.25">
      <c r="A6" s="46"/>
      <c r="B6" s="46"/>
      <c r="C6" s="46"/>
      <c r="D6" s="46"/>
      <c r="E6" s="46"/>
      <c r="F6" s="44"/>
    </row>
    <row r="7" spans="1:6" ht="14.25" customHeight="1" x14ac:dyDescent="0.25">
      <c r="A7" s="46" t="s">
        <v>54</v>
      </c>
      <c r="B7" s="45" t="s">
        <v>55</v>
      </c>
      <c r="C7" s="50" t="s">
        <v>0</v>
      </c>
      <c r="D7" s="50" t="s">
        <v>0</v>
      </c>
      <c r="E7" s="50" t="s">
        <v>56</v>
      </c>
      <c r="F7" s="44"/>
    </row>
    <row r="8" spans="1:6" ht="15" customHeight="1" x14ac:dyDescent="0.25">
      <c r="A8" s="46"/>
      <c r="B8" s="45" t="s">
        <v>57</v>
      </c>
      <c r="C8" s="50" t="s">
        <v>34</v>
      </c>
      <c r="D8" s="50" t="s">
        <v>142</v>
      </c>
      <c r="E8" s="50" t="s">
        <v>180</v>
      </c>
      <c r="F8" s="44"/>
    </row>
    <row r="9" spans="1:6" ht="15" customHeight="1" x14ac:dyDescent="0.25">
      <c r="A9" s="46"/>
      <c r="B9" s="45" t="s">
        <v>58</v>
      </c>
      <c r="C9" s="50" t="s">
        <v>35</v>
      </c>
      <c r="D9" s="50" t="s">
        <v>143</v>
      </c>
      <c r="E9" s="50" t="s">
        <v>181</v>
      </c>
      <c r="F9" s="44"/>
    </row>
    <row r="10" spans="1:6" x14ac:dyDescent="0.25">
      <c r="A10" s="46"/>
      <c r="B10" s="45" t="s">
        <v>127</v>
      </c>
      <c r="C10" s="50" t="s">
        <v>36</v>
      </c>
      <c r="D10" s="50" t="s">
        <v>138</v>
      </c>
      <c r="E10" s="50" t="s">
        <v>182</v>
      </c>
      <c r="F10" s="44"/>
    </row>
    <row r="11" spans="1:6" x14ac:dyDescent="0.25">
      <c r="A11" s="46"/>
      <c r="B11" s="45" t="s">
        <v>128</v>
      </c>
      <c r="C11" s="50" t="s">
        <v>37</v>
      </c>
      <c r="D11" s="50" t="s">
        <v>139</v>
      </c>
      <c r="E11" s="50" t="s">
        <v>183</v>
      </c>
      <c r="F11" s="44"/>
    </row>
    <row r="12" spans="1:6" x14ac:dyDescent="0.25">
      <c r="A12" s="46"/>
      <c r="B12" s="45" t="s">
        <v>129</v>
      </c>
      <c r="C12" s="50" t="s">
        <v>208</v>
      </c>
      <c r="D12" s="50" t="s">
        <v>209</v>
      </c>
      <c r="E12" s="50" t="s">
        <v>210</v>
      </c>
      <c r="F12" s="44"/>
    </row>
    <row r="13" spans="1:6" x14ac:dyDescent="0.25">
      <c r="A13" s="46"/>
      <c r="B13" s="45" t="s">
        <v>130</v>
      </c>
      <c r="C13" s="50" t="s">
        <v>38</v>
      </c>
      <c r="D13" s="50" t="s">
        <v>140</v>
      </c>
      <c r="E13" s="50" t="s">
        <v>184</v>
      </c>
      <c r="F13" s="44"/>
    </row>
    <row r="14" spans="1:6" x14ac:dyDescent="0.25">
      <c r="A14" s="46"/>
      <c r="B14" s="45" t="s">
        <v>131</v>
      </c>
      <c r="C14" s="50" t="s">
        <v>39</v>
      </c>
      <c r="D14" s="50" t="s">
        <v>141</v>
      </c>
      <c r="E14" s="50" t="s">
        <v>185</v>
      </c>
      <c r="F14" s="44"/>
    </row>
    <row r="15" spans="1:6" x14ac:dyDescent="0.25">
      <c r="A15" s="46"/>
      <c r="B15" s="45" t="s">
        <v>132</v>
      </c>
      <c r="C15" s="50" t="s">
        <v>40</v>
      </c>
      <c r="D15" s="50" t="s">
        <v>144</v>
      </c>
      <c r="E15" s="50" t="s">
        <v>186</v>
      </c>
      <c r="F15" s="44"/>
    </row>
    <row r="16" spans="1:6" x14ac:dyDescent="0.25">
      <c r="A16" s="46"/>
      <c r="B16" s="46"/>
      <c r="C16" s="46"/>
      <c r="D16" s="46"/>
      <c r="E16" s="46"/>
      <c r="F16" s="46"/>
    </row>
    <row r="17" spans="1:6" x14ac:dyDescent="0.25">
      <c r="A17" s="46"/>
      <c r="B17" s="45" t="s">
        <v>62</v>
      </c>
      <c r="C17" s="50" t="s">
        <v>59</v>
      </c>
      <c r="D17" s="50" t="s">
        <v>60</v>
      </c>
      <c r="E17" s="50" t="s">
        <v>61</v>
      </c>
      <c r="F17" s="44"/>
    </row>
    <row r="18" spans="1:6" x14ac:dyDescent="0.25">
      <c r="A18" s="46"/>
      <c r="B18" s="45" t="s">
        <v>63</v>
      </c>
      <c r="C18" s="50" t="s">
        <v>202</v>
      </c>
      <c r="D18" s="50" t="s">
        <v>200</v>
      </c>
      <c r="E18" s="50" t="s">
        <v>201</v>
      </c>
      <c r="F18" s="44"/>
    </row>
    <row r="19" spans="1:6" x14ac:dyDescent="0.25">
      <c r="A19" s="46"/>
      <c r="B19" s="44"/>
      <c r="C19" s="49"/>
      <c r="D19" s="49"/>
      <c r="E19" s="49"/>
      <c r="F19" s="44"/>
    </row>
    <row r="20" spans="1:6" x14ac:dyDescent="0.25">
      <c r="A20" s="46" t="s">
        <v>51</v>
      </c>
      <c r="B20" s="45" t="s">
        <v>64</v>
      </c>
      <c r="C20" s="50" t="s">
        <v>0</v>
      </c>
      <c r="D20" s="50" t="s">
        <v>0</v>
      </c>
      <c r="E20" s="50" t="s">
        <v>56</v>
      </c>
      <c r="F20" s="44"/>
    </row>
    <row r="21" spans="1:6" x14ac:dyDescent="0.25">
      <c r="A21" s="44"/>
      <c r="B21" s="45" t="s">
        <v>65</v>
      </c>
      <c r="C21" s="50" t="s">
        <v>5</v>
      </c>
      <c r="D21" s="50" t="s">
        <v>148</v>
      </c>
      <c r="E21" s="50" t="s">
        <v>149</v>
      </c>
      <c r="F21" s="44"/>
    </row>
    <row r="22" spans="1:6" x14ac:dyDescent="0.25">
      <c r="A22" s="44"/>
      <c r="B22" s="45" t="s">
        <v>67</v>
      </c>
      <c r="C22" s="50" t="s">
        <v>6</v>
      </c>
      <c r="D22" s="50" t="s">
        <v>107</v>
      </c>
      <c r="E22" s="50" t="s">
        <v>150</v>
      </c>
      <c r="F22" s="44"/>
    </row>
    <row r="23" spans="1:6" x14ac:dyDescent="0.25">
      <c r="A23" s="44"/>
      <c r="B23" s="45" t="s">
        <v>69</v>
      </c>
      <c r="C23" s="50" t="s">
        <v>7</v>
      </c>
      <c r="D23" s="50" t="s">
        <v>109</v>
      </c>
      <c r="E23" s="50" t="s">
        <v>151</v>
      </c>
      <c r="F23" s="44"/>
    </row>
    <row r="24" spans="1:6" x14ac:dyDescent="0.25">
      <c r="A24" s="44"/>
      <c r="B24" s="45" t="s">
        <v>71</v>
      </c>
      <c r="C24" s="50" t="s">
        <v>8</v>
      </c>
      <c r="D24" s="50" t="s">
        <v>113</v>
      </c>
      <c r="E24" s="50" t="s">
        <v>152</v>
      </c>
      <c r="F24" s="44"/>
    </row>
    <row r="25" spans="1:6" x14ac:dyDescent="0.25">
      <c r="A25" s="44"/>
      <c r="B25" s="45" t="s">
        <v>72</v>
      </c>
      <c r="C25" s="50" t="s">
        <v>9</v>
      </c>
      <c r="D25" s="50" t="s">
        <v>9</v>
      </c>
      <c r="E25" s="50" t="s">
        <v>153</v>
      </c>
      <c r="F25" s="44"/>
    </row>
    <row r="26" spans="1:6" x14ac:dyDescent="0.25">
      <c r="A26" s="44"/>
      <c r="B26" s="45" t="s">
        <v>74</v>
      </c>
      <c r="C26" s="50" t="s">
        <v>10</v>
      </c>
      <c r="D26" s="50" t="s">
        <v>68</v>
      </c>
      <c r="E26" s="50" t="s">
        <v>154</v>
      </c>
      <c r="F26" s="44"/>
    </row>
    <row r="27" spans="1:6" x14ac:dyDescent="0.25">
      <c r="A27" s="44"/>
      <c r="B27" s="45" t="s">
        <v>76</v>
      </c>
      <c r="C27" s="50" t="s">
        <v>11</v>
      </c>
      <c r="D27" s="50" t="s">
        <v>82</v>
      </c>
      <c r="E27" s="50" t="s">
        <v>155</v>
      </c>
      <c r="F27" s="44"/>
    </row>
    <row r="28" spans="1:6" x14ac:dyDescent="0.25">
      <c r="A28" s="44"/>
      <c r="B28" s="45" t="s">
        <v>78</v>
      </c>
      <c r="C28" s="50" t="s">
        <v>12</v>
      </c>
      <c r="D28" s="50" t="s">
        <v>84</v>
      </c>
      <c r="E28" s="50" t="s">
        <v>156</v>
      </c>
      <c r="F28" s="44"/>
    </row>
    <row r="29" spans="1:6" x14ac:dyDescent="0.25">
      <c r="A29" s="44"/>
      <c r="B29" s="45" t="s">
        <v>80</v>
      </c>
      <c r="C29" s="50" t="s">
        <v>13</v>
      </c>
      <c r="D29" s="50" t="s">
        <v>111</v>
      </c>
      <c r="E29" s="50" t="s">
        <v>157</v>
      </c>
      <c r="F29" s="44"/>
    </row>
    <row r="30" spans="1:6" x14ac:dyDescent="0.25">
      <c r="A30" s="44"/>
      <c r="B30" s="45" t="s">
        <v>81</v>
      </c>
      <c r="C30" s="50" t="s">
        <v>14</v>
      </c>
      <c r="D30" s="50" t="s">
        <v>115</v>
      </c>
      <c r="E30" s="50" t="s">
        <v>158</v>
      </c>
      <c r="F30" s="44"/>
    </row>
    <row r="31" spans="1:6" x14ac:dyDescent="0.25">
      <c r="A31" s="44"/>
      <c r="B31" s="45" t="s">
        <v>83</v>
      </c>
      <c r="C31" s="50" t="s">
        <v>15</v>
      </c>
      <c r="D31" s="50" t="s">
        <v>145</v>
      </c>
      <c r="E31" s="50" t="s">
        <v>159</v>
      </c>
      <c r="F31" s="44"/>
    </row>
    <row r="32" spans="1:6" x14ac:dyDescent="0.25">
      <c r="A32" s="44"/>
      <c r="B32" s="45" t="s">
        <v>85</v>
      </c>
      <c r="C32" s="50" t="s">
        <v>16</v>
      </c>
      <c r="D32" s="50" t="s">
        <v>86</v>
      </c>
      <c r="E32" s="50" t="s">
        <v>160</v>
      </c>
      <c r="F32" s="44"/>
    </row>
    <row r="33" spans="1:6" x14ac:dyDescent="0.25">
      <c r="A33" s="44"/>
      <c r="B33" s="45" t="s">
        <v>87</v>
      </c>
      <c r="C33" s="50" t="s">
        <v>17</v>
      </c>
      <c r="D33" s="50" t="s">
        <v>88</v>
      </c>
      <c r="E33" s="50" t="s">
        <v>161</v>
      </c>
      <c r="F33" s="44"/>
    </row>
    <row r="34" spans="1:6" x14ac:dyDescent="0.25">
      <c r="A34" s="44"/>
      <c r="B34" s="45" t="s">
        <v>89</v>
      </c>
      <c r="C34" s="50" t="s">
        <v>18</v>
      </c>
      <c r="D34" s="50" t="s">
        <v>102</v>
      </c>
      <c r="E34" s="50" t="s">
        <v>162</v>
      </c>
      <c r="F34" s="44"/>
    </row>
    <row r="35" spans="1:6" x14ac:dyDescent="0.25">
      <c r="A35" s="44"/>
      <c r="B35" s="45" t="s">
        <v>91</v>
      </c>
      <c r="C35" s="50" t="s">
        <v>19</v>
      </c>
      <c r="D35" s="50" t="s">
        <v>66</v>
      </c>
      <c r="E35" s="50" t="s">
        <v>163</v>
      </c>
      <c r="F35" s="44"/>
    </row>
    <row r="36" spans="1:6" x14ac:dyDescent="0.25">
      <c r="A36" s="44"/>
      <c r="B36" s="45" t="s">
        <v>94</v>
      </c>
      <c r="C36" s="50" t="s">
        <v>20</v>
      </c>
      <c r="D36" s="50" t="s">
        <v>146</v>
      </c>
      <c r="E36" s="50" t="s">
        <v>164</v>
      </c>
      <c r="F36" s="44"/>
    </row>
    <row r="37" spans="1:6" x14ac:dyDescent="0.25">
      <c r="A37" s="44"/>
      <c r="B37" s="45" t="s">
        <v>97</v>
      </c>
      <c r="C37" s="50" t="s">
        <v>21</v>
      </c>
      <c r="D37" s="50" t="s">
        <v>79</v>
      </c>
      <c r="E37" s="50" t="s">
        <v>165</v>
      </c>
      <c r="F37" s="44"/>
    </row>
    <row r="38" spans="1:6" x14ac:dyDescent="0.25">
      <c r="A38" s="44"/>
      <c r="B38" s="45" t="s">
        <v>99</v>
      </c>
      <c r="C38" s="50" t="s">
        <v>22</v>
      </c>
      <c r="D38" s="50" t="s">
        <v>90</v>
      </c>
      <c r="E38" s="50" t="s">
        <v>166</v>
      </c>
      <c r="F38" s="44"/>
    </row>
    <row r="39" spans="1:6" x14ac:dyDescent="0.25">
      <c r="A39" s="44"/>
      <c r="B39" s="45" t="s">
        <v>101</v>
      </c>
      <c r="C39" s="50" t="s">
        <v>92</v>
      </c>
      <c r="D39" s="50" t="s">
        <v>93</v>
      </c>
      <c r="E39" s="50" t="s">
        <v>167</v>
      </c>
      <c r="F39" s="44"/>
    </row>
    <row r="40" spans="1:6" x14ac:dyDescent="0.25">
      <c r="A40" s="44"/>
      <c r="B40" s="45" t="s">
        <v>103</v>
      </c>
      <c r="C40" s="50" t="s">
        <v>95</v>
      </c>
      <c r="D40" s="50" t="s">
        <v>96</v>
      </c>
      <c r="E40" s="50" t="s">
        <v>168</v>
      </c>
      <c r="F40" s="44"/>
    </row>
    <row r="41" spans="1:6" x14ac:dyDescent="0.25">
      <c r="A41" s="44"/>
      <c r="B41" s="45" t="s">
        <v>105</v>
      </c>
      <c r="C41" s="50" t="s">
        <v>23</v>
      </c>
      <c r="D41" s="50" t="s">
        <v>98</v>
      </c>
      <c r="E41" s="50" t="s">
        <v>169</v>
      </c>
      <c r="F41" s="44"/>
    </row>
    <row r="42" spans="1:6" x14ac:dyDescent="0.25">
      <c r="A42" s="44"/>
      <c r="B42" s="45" t="s">
        <v>106</v>
      </c>
      <c r="C42" s="50" t="s">
        <v>24</v>
      </c>
      <c r="D42" s="50" t="s">
        <v>100</v>
      </c>
      <c r="E42" s="50" t="s">
        <v>170</v>
      </c>
      <c r="F42" s="44"/>
    </row>
    <row r="43" spans="1:6" x14ac:dyDescent="0.25">
      <c r="A43" s="44"/>
      <c r="B43" s="45" t="s">
        <v>108</v>
      </c>
      <c r="C43" s="50" t="s">
        <v>25</v>
      </c>
      <c r="D43" s="50" t="s">
        <v>104</v>
      </c>
      <c r="E43" s="50" t="s">
        <v>171</v>
      </c>
      <c r="F43" s="44"/>
    </row>
    <row r="44" spans="1:6" x14ac:dyDescent="0.25">
      <c r="A44" s="44"/>
      <c r="B44" s="45" t="s">
        <v>110</v>
      </c>
      <c r="C44" s="50" t="s">
        <v>26</v>
      </c>
      <c r="D44" s="50" t="s">
        <v>147</v>
      </c>
      <c r="E44" s="50" t="s">
        <v>172</v>
      </c>
      <c r="F44" s="44"/>
    </row>
    <row r="45" spans="1:6" x14ac:dyDescent="0.25">
      <c r="A45" s="44"/>
      <c r="B45" s="45" t="s">
        <v>112</v>
      </c>
      <c r="C45" s="50" t="s">
        <v>27</v>
      </c>
      <c r="D45" s="50" t="s">
        <v>70</v>
      </c>
      <c r="E45" s="50" t="s">
        <v>173</v>
      </c>
      <c r="F45" s="44"/>
    </row>
    <row r="46" spans="1:6" x14ac:dyDescent="0.25">
      <c r="A46" s="44"/>
      <c r="B46" s="45" t="s">
        <v>114</v>
      </c>
      <c r="C46" s="50" t="s">
        <v>28</v>
      </c>
      <c r="D46" s="50" t="s">
        <v>28</v>
      </c>
      <c r="E46" s="50" t="s">
        <v>174</v>
      </c>
      <c r="F46" s="44"/>
    </row>
    <row r="47" spans="1:6" x14ac:dyDescent="0.25">
      <c r="A47" s="44"/>
      <c r="B47" s="45" t="s">
        <v>133</v>
      </c>
      <c r="C47" s="50" t="s">
        <v>29</v>
      </c>
      <c r="D47" s="50" t="s">
        <v>73</v>
      </c>
      <c r="E47" s="50" t="s">
        <v>175</v>
      </c>
      <c r="F47" s="44"/>
    </row>
    <row r="48" spans="1:6" x14ac:dyDescent="0.25">
      <c r="A48" s="44"/>
      <c r="B48" s="45" t="s">
        <v>137</v>
      </c>
      <c r="C48" s="50" t="s">
        <v>30</v>
      </c>
      <c r="D48" s="50" t="s">
        <v>75</v>
      </c>
      <c r="E48" s="50" t="s">
        <v>176</v>
      </c>
      <c r="F48" s="44"/>
    </row>
    <row r="49" spans="1:6" x14ac:dyDescent="0.25">
      <c r="A49" s="44"/>
      <c r="B49" s="45" t="s">
        <v>134</v>
      </c>
      <c r="C49" s="50" t="s">
        <v>31</v>
      </c>
      <c r="D49" s="50" t="s">
        <v>77</v>
      </c>
      <c r="E49" s="50" t="s">
        <v>177</v>
      </c>
      <c r="F49" s="44"/>
    </row>
    <row r="50" spans="1:6" x14ac:dyDescent="0.25">
      <c r="A50" s="44"/>
      <c r="B50" s="45" t="s">
        <v>135</v>
      </c>
      <c r="C50" s="50" t="s">
        <v>32</v>
      </c>
      <c r="D50" s="50" t="s">
        <v>32</v>
      </c>
      <c r="E50" s="50" t="s">
        <v>178</v>
      </c>
      <c r="F50" s="44"/>
    </row>
    <row r="51" spans="1:6" x14ac:dyDescent="0.25">
      <c r="A51" s="44"/>
      <c r="B51" s="45" t="s">
        <v>136</v>
      </c>
      <c r="C51" s="50" t="s">
        <v>33</v>
      </c>
      <c r="D51" s="50" t="s">
        <v>33</v>
      </c>
      <c r="E51" s="50" t="s">
        <v>179</v>
      </c>
      <c r="F51" s="44"/>
    </row>
    <row r="52" spans="1:6" x14ac:dyDescent="0.25">
      <c r="A52" s="44"/>
      <c r="B52" s="44"/>
      <c r="C52" s="49"/>
      <c r="D52" s="49"/>
      <c r="E52" s="49"/>
      <c r="F52" s="44"/>
    </row>
    <row r="53" spans="1:6" ht="51" x14ac:dyDescent="0.25">
      <c r="A53" s="46"/>
      <c r="B53" s="45" t="s">
        <v>116</v>
      </c>
      <c r="C53" s="50" t="s">
        <v>189</v>
      </c>
      <c r="D53" s="50" t="s">
        <v>191</v>
      </c>
      <c r="E53" s="50" t="s">
        <v>192</v>
      </c>
      <c r="F53" s="49"/>
    </row>
    <row r="54" spans="1:6" ht="63.75" x14ac:dyDescent="0.25">
      <c r="A54" s="44"/>
      <c r="B54" s="45" t="s">
        <v>119</v>
      </c>
      <c r="C54" s="50" t="s">
        <v>194</v>
      </c>
      <c r="D54" s="50" t="s">
        <v>197</v>
      </c>
      <c r="E54" s="50" t="s">
        <v>193</v>
      </c>
      <c r="F54" s="49"/>
    </row>
    <row r="55" spans="1:6" ht="38.25" x14ac:dyDescent="0.25">
      <c r="A55" s="44"/>
      <c r="B55" s="45" t="s">
        <v>121</v>
      </c>
      <c r="C55" s="50" t="s">
        <v>195</v>
      </c>
      <c r="D55" s="50" t="s">
        <v>198</v>
      </c>
      <c r="E55" s="50" t="s">
        <v>196</v>
      </c>
      <c r="F55" s="49"/>
    </row>
    <row r="56" spans="1:6" ht="38.25" x14ac:dyDescent="0.25">
      <c r="A56" s="44"/>
      <c r="B56" s="45" t="s">
        <v>122</v>
      </c>
      <c r="C56" s="50" t="s">
        <v>2</v>
      </c>
      <c r="D56" s="50" t="s">
        <v>117</v>
      </c>
      <c r="E56" s="50" t="s">
        <v>118</v>
      </c>
      <c r="F56" s="49"/>
    </row>
    <row r="57" spans="1:6" ht="38.25" x14ac:dyDescent="0.25">
      <c r="A57" s="44"/>
      <c r="B57" s="45" t="s">
        <v>190</v>
      </c>
      <c r="C57" s="50" t="s">
        <v>3</v>
      </c>
      <c r="D57" s="50" t="s">
        <v>199</v>
      </c>
      <c r="E57" s="50" t="s">
        <v>120</v>
      </c>
      <c r="F57" s="49"/>
    </row>
    <row r="58" spans="1:6" ht="25.5" x14ac:dyDescent="0.25">
      <c r="A58" s="44"/>
      <c r="B58" s="45" t="s">
        <v>207</v>
      </c>
      <c r="C58" s="50" t="s">
        <v>204</v>
      </c>
      <c r="D58" s="50" t="s">
        <v>205</v>
      </c>
      <c r="E58" s="50" t="s">
        <v>206</v>
      </c>
      <c r="F58" s="49"/>
    </row>
    <row r="59" spans="1:6" x14ac:dyDescent="0.25">
      <c r="A59" s="44"/>
      <c r="B59" s="44"/>
      <c r="C59" s="44"/>
      <c r="D59" s="44"/>
      <c r="E59" s="44"/>
      <c r="F59" s="44"/>
    </row>
    <row r="60" spans="1:6" x14ac:dyDescent="0.25">
      <c r="A60" s="44" t="s">
        <v>54</v>
      </c>
      <c r="B60" s="45" t="s">
        <v>123</v>
      </c>
      <c r="C60" s="50" t="s">
        <v>4</v>
      </c>
      <c r="D60" s="50" t="s">
        <v>124</v>
      </c>
      <c r="E60" s="50" t="s">
        <v>125</v>
      </c>
      <c r="F60" s="44"/>
    </row>
    <row r="61" spans="1:6" x14ac:dyDescent="0.25">
      <c r="A61" s="44" t="s">
        <v>51</v>
      </c>
      <c r="B61" s="51" t="s">
        <v>126</v>
      </c>
      <c r="C61" s="52" t="s">
        <v>211</v>
      </c>
      <c r="D61" s="52" t="s">
        <v>212</v>
      </c>
      <c r="E61" s="52" t="s">
        <v>213</v>
      </c>
      <c r="F61" s="44"/>
    </row>
    <row r="62" spans="1:6" x14ac:dyDescent="0.25">
      <c r="A62" s="44"/>
      <c r="B62" s="44"/>
      <c r="C62" s="49"/>
      <c r="D62" s="49"/>
      <c r="E62" s="49"/>
      <c r="F62" s="44"/>
    </row>
    <row r="63" spans="1:6" x14ac:dyDescent="0.25">
      <c r="A63" s="46"/>
      <c r="B63" s="47"/>
      <c r="C63" s="48"/>
      <c r="D63" s="48"/>
      <c r="E63" s="48"/>
      <c r="F63" s="4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showGridLines="0" workbookViewId="0"/>
  </sheetViews>
  <sheetFormatPr baseColWidth="10" defaultColWidth="9.140625" defaultRowHeight="14.25" x14ac:dyDescent="0.2"/>
  <cols>
    <col min="1" max="1" width="22.7109375" style="53" customWidth="1"/>
    <col min="2" max="2" width="9.140625" style="53" customWidth="1"/>
    <col min="3" max="18" width="12.42578125" style="53" customWidth="1"/>
    <col min="19" max="16384" width="9.140625" style="77"/>
  </cols>
  <sheetData>
    <row r="1" spans="1:18" s="75" customFormat="1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75" customFormat="1" ht="15.75" x14ac:dyDescent="0.25">
      <c r="A2" s="1"/>
      <c r="B2" s="15"/>
      <c r="C2" s="53"/>
      <c r="D2" s="5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75" customFormat="1" ht="15.75" x14ac:dyDescent="0.25">
      <c r="A3" s="1"/>
      <c r="B3" s="15"/>
      <c r="C3" s="53"/>
      <c r="D3" s="5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s="75" customFormat="1" ht="15.75" x14ac:dyDescent="0.25">
      <c r="A4" s="1"/>
      <c r="B4" s="15"/>
      <c r="C4" s="53"/>
      <c r="D4" s="5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75" customFormat="1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s="75" customFormat="1" ht="12.7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s="75" customFormat="1" ht="15.75" customHeight="1" x14ac:dyDescent="0.2">
      <c r="A7" s="146" t="str">
        <f>VLOOKUP("&lt;Fachbereich&gt;",Uebersetzungen!$B$3:$E$63,Uebersetzungen!$B$2+1,FALSE)</f>
        <v>Daten &amp; Statistik</v>
      </c>
      <c r="B7" s="146"/>
      <c r="C7" s="146"/>
      <c r="D7" s="146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</row>
    <row r="8" spans="1:18" s="75" customFormat="1" ht="12.7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s="76" customFormat="1" ht="18" x14ac:dyDescent="0.2">
      <c r="A9" s="19" t="str">
        <f>VLOOKUP("&lt;Titel&gt;",Uebersetzungen!$B$3:$E$63,Uebersetzungen!$B$2+1,FALSE)</f>
        <v>Religionszugehörigkeit nach Kanton</v>
      </c>
      <c r="B9" s="54"/>
      <c r="C9" s="55"/>
      <c r="D9" s="55"/>
      <c r="E9" s="55"/>
      <c r="F9" s="55"/>
      <c r="G9" s="55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s="76" customFormat="1" ht="12.75" x14ac:dyDescent="0.2">
      <c r="A10" s="20" t="str">
        <f>VLOOKUP("&lt;UTitel&gt;",Uebersetzungen!$B$3:$E$63,Uebersetzungen!$B$2+1,FALSE)</f>
        <v>Ständige Wohnbevölkerung ab 15 Jahren</v>
      </c>
      <c r="B10" s="54"/>
      <c r="C10" s="55"/>
      <c r="D10" s="55"/>
      <c r="E10" s="55"/>
      <c r="F10" s="55"/>
      <c r="G10" s="5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8.75" thickBot="1" x14ac:dyDescent="0.3">
      <c r="B11" s="17"/>
      <c r="C11" s="18"/>
      <c r="D11" s="4"/>
      <c r="E11" s="4"/>
      <c r="F11" s="4"/>
      <c r="G11" s="4"/>
      <c r="H11" s="4"/>
      <c r="I11" s="4"/>
      <c r="J11" s="4"/>
    </row>
    <row r="12" spans="1:18" s="78" customFormat="1" ht="18" x14ac:dyDescent="0.25">
      <c r="A12" s="3"/>
      <c r="B12" s="154">
        <v>2023</v>
      </c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6"/>
    </row>
    <row r="13" spans="1:18" s="78" customFormat="1" ht="37.5" customHeight="1" x14ac:dyDescent="0.25">
      <c r="A13" s="3"/>
      <c r="B13" s="157" t="str">
        <f>VLOOKUP("&lt;SpaltenTitel_1&gt;",Uebersetzungen!$B$3:$E$63,Uebersetzungen!$B$2+1,FALSE)</f>
        <v>Total</v>
      </c>
      <c r="C13" s="152" t="str">
        <f>VLOOKUP("&lt;SpaltenTitel_2&gt;",Uebersetzungen!$B$3:$E$63,Uebersetzungen!$B$2+1,FALSE)</f>
        <v>Evangelisch-reformiert</v>
      </c>
      <c r="D13" s="152"/>
      <c r="E13" s="152" t="str">
        <f>VLOOKUP("&lt;SpaltenTitel_3&gt;",Uebersetzungen!$B$3:$E$63,Uebersetzungen!$B$2+1,FALSE)</f>
        <v>Römisch-katholisch</v>
      </c>
      <c r="F13" s="152"/>
      <c r="G13" s="152" t="str">
        <f>VLOOKUP("&lt;SpaltenTitel_4&gt;",Uebersetzungen!$B$3:$E$63,Uebersetzungen!$B$2+1,FALSE)</f>
        <v>Andere christliche Glaubensgemeinschaften</v>
      </c>
      <c r="H13" s="152"/>
      <c r="I13" s="152" t="str">
        <f>VLOOKUP("&lt;SpaltenTitel_5&gt;",Uebersetzungen!$B$3:$E$63,Uebersetzungen!$B$2+1,FALSE)</f>
        <v>Jüdische Glaubensgemeinschaften</v>
      </c>
      <c r="J13" s="152"/>
      <c r="K13" s="152" t="str">
        <f>VLOOKUP("&lt;SpaltenTitel_6&gt;",Uebersetzungen!$B$3:$E$63,Uebersetzungen!$B$2+1,FALSE)</f>
        <v>Islamische Glaubensgem.*</v>
      </c>
      <c r="L13" s="152"/>
      <c r="M13" s="152" t="str">
        <f>VLOOKUP("&lt;SpaltenTitel_7&gt;",Uebersetzungen!$B$3:$E$63,Uebersetzungen!$B$2+1,FALSE)</f>
        <v>Andere Religionsgemeinschaften</v>
      </c>
      <c r="N13" s="152"/>
      <c r="O13" s="152" t="str">
        <f>VLOOKUP("&lt;SpaltenTitel_8&gt;",Uebersetzungen!$B$3:$E$63,Uebersetzungen!$B$2+1,FALSE)</f>
        <v>Ohne Religionszugehörigkeit</v>
      </c>
      <c r="P13" s="152"/>
      <c r="Q13" s="152" t="str">
        <f>VLOOKUP("&lt;SpaltenTitel_9&gt;",Uebersetzungen!$B$3:$E$63,Uebersetzungen!$B$2+1,FALSE)</f>
        <v>Religionszugehörigkeit unbekannt</v>
      </c>
      <c r="R13" s="153"/>
    </row>
    <row r="14" spans="1:18" s="78" customFormat="1" ht="39" thickBot="1" x14ac:dyDescent="0.3">
      <c r="A14" s="6"/>
      <c r="B14" s="151"/>
      <c r="C14" s="112" t="str">
        <f>VLOOKUP("&lt;SpaltenTitel_2.1&gt;",Uebersetzungen!$B$3:$E$63,Uebersetzungen!$B$2+1,FALSE)</f>
        <v>Anzahl Personen</v>
      </c>
      <c r="D14" s="112" t="str">
        <f>VLOOKUP("&lt;SpaltenTitel_2.2&gt;",Uebersetzungen!$B$3:$E$63,Uebersetzungen!$B$2+1,FALSE)</f>
        <v>Vertrauens- intervall:          ± (in %)</v>
      </c>
      <c r="E14" s="112" t="str">
        <f>VLOOKUP("&lt;SpaltenTitel_2.1&gt;",Uebersetzungen!$B$3:$E$63,Uebersetzungen!$B$2+1,FALSE)</f>
        <v>Anzahl Personen</v>
      </c>
      <c r="F14" s="112" t="str">
        <f>VLOOKUP("&lt;SpaltenTitel_2.2&gt;",Uebersetzungen!$B$3:$E$63,Uebersetzungen!$B$2+1,FALSE)</f>
        <v>Vertrauens- intervall:          ± (in %)</v>
      </c>
      <c r="G14" s="112" t="str">
        <f>VLOOKUP("&lt;SpaltenTitel_2.1&gt;",Uebersetzungen!$B$3:$E$63,Uebersetzungen!$B$2+1,FALSE)</f>
        <v>Anzahl Personen</v>
      </c>
      <c r="H14" s="112" t="str">
        <f>VLOOKUP("&lt;SpaltenTitel_2.2&gt;",Uebersetzungen!$B$3:$E$63,Uebersetzungen!$B$2+1,FALSE)</f>
        <v>Vertrauens- intervall:          ± (in %)</v>
      </c>
      <c r="I14" s="112" t="str">
        <f>VLOOKUP("&lt;SpaltenTitel_2.1&gt;",Uebersetzungen!$B$3:$E$63,Uebersetzungen!$B$2+1,FALSE)</f>
        <v>Anzahl Personen</v>
      </c>
      <c r="J14" s="112" t="str">
        <f>VLOOKUP("&lt;SpaltenTitel_2.2&gt;",Uebersetzungen!$B$3:$E$63,Uebersetzungen!$B$2+1,FALSE)</f>
        <v>Vertrauens- intervall:          ± (in %)</v>
      </c>
      <c r="K14" s="112" t="str">
        <f>VLOOKUP("&lt;SpaltenTitel_2.1&gt;",Uebersetzungen!$B$3:$E$63,Uebersetzungen!$B$2+1,FALSE)</f>
        <v>Anzahl Personen</v>
      </c>
      <c r="L14" s="112" t="str">
        <f>VLOOKUP("&lt;SpaltenTitel_2.2&gt;",Uebersetzungen!$B$3:$E$63,Uebersetzungen!$B$2+1,FALSE)</f>
        <v>Vertrauens- intervall:          ± (in %)</v>
      </c>
      <c r="M14" s="112" t="str">
        <f>VLOOKUP("&lt;SpaltenTitel_2.1&gt;",Uebersetzungen!$B$3:$E$63,Uebersetzungen!$B$2+1,FALSE)</f>
        <v>Anzahl Personen</v>
      </c>
      <c r="N14" s="112" t="str">
        <f>VLOOKUP("&lt;SpaltenTitel_2.2&gt;",Uebersetzungen!$B$3:$E$63,Uebersetzungen!$B$2+1,FALSE)</f>
        <v>Vertrauens- intervall:          ± (in %)</v>
      </c>
      <c r="O14" s="112" t="str">
        <f>VLOOKUP("&lt;SpaltenTitel_2.1&gt;",Uebersetzungen!$B$3:$E$63,Uebersetzungen!$B$2+1,FALSE)</f>
        <v>Anzahl Personen</v>
      </c>
      <c r="P14" s="112" t="str">
        <f>VLOOKUP("&lt;SpaltenTitel_2.2&gt;",Uebersetzungen!$B$3:$E$63,Uebersetzungen!$B$2+1,FALSE)</f>
        <v>Vertrauens- intervall:          ± (in %)</v>
      </c>
      <c r="Q14" s="112" t="str">
        <f>VLOOKUP("&lt;SpaltenTitel_2.1&gt;",Uebersetzungen!$B$3:$E$63,Uebersetzungen!$B$2+1,FALSE)</f>
        <v>Anzahl Personen</v>
      </c>
      <c r="R14" s="113" t="str">
        <f>VLOOKUP("&lt;SpaltenTitel_2.2&gt;",Uebersetzungen!$B$3:$E$63,Uebersetzungen!$B$2+1,FALSE)</f>
        <v>Vertrauens- intervall:          ± (in %)</v>
      </c>
    </row>
    <row r="15" spans="1:18" s="76" customFormat="1" ht="12.75" x14ac:dyDescent="0.2">
      <c r="A15" s="14" t="str">
        <f>VLOOKUP("&lt;Zeilentitel_1&gt;",Uebersetzungen!$B$3:$E$63,Uebersetzungen!$B$2+1,FALSE)</f>
        <v>Total</v>
      </c>
      <c r="B15" s="92">
        <v>7424121.9999999916</v>
      </c>
      <c r="C15" s="123">
        <v>1444154.5796302625</v>
      </c>
      <c r="D15" s="107">
        <v>0.7544528879303577</v>
      </c>
      <c r="E15" s="108">
        <v>2278198.7345343218</v>
      </c>
      <c r="F15" s="107">
        <v>0.54431806056259513</v>
      </c>
      <c r="G15" s="109">
        <v>430830.17541824462</v>
      </c>
      <c r="H15" s="107">
        <v>1.5962871734572215</v>
      </c>
      <c r="I15" s="110">
        <v>17979.342520602415</v>
      </c>
      <c r="J15" s="107">
        <v>7.9410195708171312</v>
      </c>
      <c r="K15" s="109">
        <v>444810.61961749126</v>
      </c>
      <c r="L15" s="107">
        <v>1.6627564747350014</v>
      </c>
      <c r="M15" s="109">
        <v>98521.065318060049</v>
      </c>
      <c r="N15" s="107">
        <v>3.4473006937387352</v>
      </c>
      <c r="O15" s="108">
        <v>2646061.9654910951</v>
      </c>
      <c r="P15" s="107">
        <v>0.51678489920049353</v>
      </c>
      <c r="Q15" s="109">
        <v>63565.517469913699</v>
      </c>
      <c r="R15" s="111">
        <v>4.0296706140910095</v>
      </c>
    </row>
    <row r="16" spans="1:18" s="76" customFormat="1" ht="12.75" x14ac:dyDescent="0.2">
      <c r="A16" s="56" t="str">
        <f>VLOOKUP("&lt;Zeilentitel_2&gt;",Uebersetzungen!$B$3:$E$63,Uebersetzungen!$B$2+1,FALSE)</f>
        <v>Genferseeregion</v>
      </c>
      <c r="B16" s="127">
        <v>1397554.9999999851</v>
      </c>
      <c r="C16" s="124">
        <v>169421.39971440245</v>
      </c>
      <c r="D16" s="85">
        <v>1.8541739432885205</v>
      </c>
      <c r="E16" s="57">
        <v>474922.53019033279</v>
      </c>
      <c r="F16" s="85">
        <v>1.0281134642587779</v>
      </c>
      <c r="G16" s="57">
        <v>77198.742718294365</v>
      </c>
      <c r="H16" s="85">
        <v>3.159199160766045</v>
      </c>
      <c r="I16" s="59">
        <v>5741.6068158446087</v>
      </c>
      <c r="J16" s="85">
        <v>11.21318123573384</v>
      </c>
      <c r="K16" s="57">
        <v>83238.900024667702</v>
      </c>
      <c r="L16" s="85">
        <v>3.2047362471093304</v>
      </c>
      <c r="M16" s="57">
        <v>16267.611647711052</v>
      </c>
      <c r="N16" s="85">
        <v>6.9818435544074502</v>
      </c>
      <c r="O16" s="57">
        <v>548865.32216076762</v>
      </c>
      <c r="P16" s="85">
        <v>0.94232361595865455</v>
      </c>
      <c r="Q16" s="57">
        <v>21898.886727964491</v>
      </c>
      <c r="R16" s="86">
        <v>6.0601786891094136</v>
      </c>
    </row>
    <row r="17" spans="1:18" s="76" customFormat="1" ht="12.75" x14ac:dyDescent="0.2">
      <c r="A17" s="7" t="str">
        <f>VLOOKUP("&lt;Zeilentitel_3&gt;",Uebersetzungen!$B$3:$E$63,Uebersetzungen!$B$2+1,FALSE)</f>
        <v>Waadt</v>
      </c>
      <c r="B17" s="104">
        <v>690662.99999999045</v>
      </c>
      <c r="C17" s="125">
        <v>125011.0978286773</v>
      </c>
      <c r="D17" s="83">
        <v>1.9891571350331614</v>
      </c>
      <c r="E17" s="29">
        <v>173905.67883301512</v>
      </c>
      <c r="F17" s="83">
        <v>1.6788103654565394</v>
      </c>
      <c r="G17" s="29">
        <v>43740.551198859081</v>
      </c>
      <c r="H17" s="83">
        <v>3.8473932963438333</v>
      </c>
      <c r="I17" s="31">
        <v>1950.1919676245607</v>
      </c>
      <c r="J17" s="83">
        <v>18.057754554541287</v>
      </c>
      <c r="K17" s="29">
        <v>41042.85004052148</v>
      </c>
      <c r="L17" s="83">
        <v>4.1595472274165539</v>
      </c>
      <c r="M17" s="29">
        <v>8399.3524837343502</v>
      </c>
      <c r="N17" s="83">
        <v>8.9893059432927576</v>
      </c>
      <c r="O17" s="29">
        <v>287380.1856284556</v>
      </c>
      <c r="P17" s="83">
        <v>1.1770576185413488</v>
      </c>
      <c r="Q17" s="29">
        <v>9233.0920191029818</v>
      </c>
      <c r="R17" s="81">
        <v>8.4556829933910276</v>
      </c>
    </row>
    <row r="18" spans="1:18" s="76" customFormat="1" ht="12.75" x14ac:dyDescent="0.2">
      <c r="A18" s="7" t="str">
        <f>VLOOKUP("&lt;Zeilentitel_4&gt;",Uebersetzungen!$B$3:$E$63,Uebersetzungen!$B$2+1,FALSE)</f>
        <v>Wallis</v>
      </c>
      <c r="B18" s="104">
        <v>306633.99999999715</v>
      </c>
      <c r="C18" s="125">
        <v>15392.123512913682</v>
      </c>
      <c r="D18" s="83">
        <v>8.9036563734643028</v>
      </c>
      <c r="E18" s="29">
        <v>189889.29438389197</v>
      </c>
      <c r="F18" s="83">
        <v>1.6278999891063577</v>
      </c>
      <c r="G18" s="29">
        <v>9991.213676238016</v>
      </c>
      <c r="H18" s="83">
        <v>11.830123124759981</v>
      </c>
      <c r="I18" s="41">
        <v>317.73221635541961</v>
      </c>
      <c r="J18" s="84">
        <v>69.321717038925655</v>
      </c>
      <c r="K18" s="29">
        <v>12438.439943213825</v>
      </c>
      <c r="L18" s="83">
        <v>11.137040310471262</v>
      </c>
      <c r="M18" s="29">
        <v>1866.8620265663478</v>
      </c>
      <c r="N18" s="83">
        <v>27.669158994861924</v>
      </c>
      <c r="O18" s="29">
        <v>72595.462256726256</v>
      </c>
      <c r="P18" s="83">
        <v>3.8714240318276678</v>
      </c>
      <c r="Q18" s="29">
        <v>4142.8719840916547</v>
      </c>
      <c r="R18" s="81">
        <v>18.043501182647869</v>
      </c>
    </row>
    <row r="19" spans="1:18" s="76" customFormat="1" ht="12.75" x14ac:dyDescent="0.2">
      <c r="A19" s="7" t="str">
        <f>VLOOKUP("&lt;Zeilentitel_5&gt;",Uebersetzungen!$B$3:$E$63,Uebersetzungen!$B$2+1,FALSE)</f>
        <v>Genf</v>
      </c>
      <c r="B19" s="104">
        <v>400257.99999999744</v>
      </c>
      <c r="C19" s="125">
        <v>29018.178372811475</v>
      </c>
      <c r="D19" s="83">
        <v>4.6318029645536454</v>
      </c>
      <c r="E19" s="29">
        <v>111127.55697342572</v>
      </c>
      <c r="F19" s="83">
        <v>2.1600283154785966</v>
      </c>
      <c r="G19" s="29">
        <v>23466.97784319727</v>
      </c>
      <c r="H19" s="83">
        <v>5.5869185138383104</v>
      </c>
      <c r="I19" s="31">
        <v>3473.6826318646285</v>
      </c>
      <c r="J19" s="83">
        <v>14.160875633394832</v>
      </c>
      <c r="K19" s="29">
        <v>29757.610040932392</v>
      </c>
      <c r="L19" s="83">
        <v>5.0770205222360234</v>
      </c>
      <c r="M19" s="29">
        <v>6001.3971374103548</v>
      </c>
      <c r="N19" s="83">
        <v>11.215985762582694</v>
      </c>
      <c r="O19" s="29">
        <v>188889.67427558574</v>
      </c>
      <c r="P19" s="83">
        <v>1.4410751848145091</v>
      </c>
      <c r="Q19" s="29">
        <v>8522.9227247698509</v>
      </c>
      <c r="R19" s="81">
        <v>9.0345754467988257</v>
      </c>
    </row>
    <row r="20" spans="1:18" s="76" customFormat="1" ht="12.75" x14ac:dyDescent="0.2">
      <c r="A20" s="56" t="str">
        <f>VLOOKUP("&lt;Zeilentitel_6&gt;",Uebersetzungen!$B$3:$E$63,Uebersetzungen!$B$2+1,FALSE)</f>
        <v>Espace Mittelland</v>
      </c>
      <c r="B20" s="127">
        <v>1618994.0000000105</v>
      </c>
      <c r="C20" s="124">
        <v>472381.90010216669</v>
      </c>
      <c r="D20" s="85">
        <v>1.2730815981755634</v>
      </c>
      <c r="E20" s="57">
        <v>387117.69986444991</v>
      </c>
      <c r="F20" s="85">
        <v>1.4655020367010438</v>
      </c>
      <c r="G20" s="57">
        <v>93371.991053268517</v>
      </c>
      <c r="H20" s="85">
        <v>3.6879238172454665</v>
      </c>
      <c r="I20" s="59">
        <v>1745.2859913752486</v>
      </c>
      <c r="J20" s="85">
        <v>27.40802400734205</v>
      </c>
      <c r="K20" s="57">
        <v>83850.815196695592</v>
      </c>
      <c r="L20" s="85">
        <v>4.127042349949491</v>
      </c>
      <c r="M20" s="57">
        <v>21441.249900708055</v>
      </c>
      <c r="N20" s="85">
        <v>7.8677688852534766</v>
      </c>
      <c r="O20" s="57">
        <v>545290.38842671725</v>
      </c>
      <c r="P20" s="85">
        <v>1.2302197160387396</v>
      </c>
      <c r="Q20" s="57">
        <v>13794.669464628856</v>
      </c>
      <c r="R20" s="86">
        <v>9.3870018681906799</v>
      </c>
    </row>
    <row r="21" spans="1:18" s="76" customFormat="1" ht="12.75" x14ac:dyDescent="0.2">
      <c r="A21" s="7" t="str">
        <f>VLOOKUP("&lt;Zeilentitel_7&gt;",Uebersetzungen!$B$3:$E$63,Uebersetzungen!$B$2+1,FALSE)</f>
        <v>Bern</v>
      </c>
      <c r="B21" s="104">
        <v>888558.00000001048</v>
      </c>
      <c r="C21" s="125">
        <v>374934.47029460681</v>
      </c>
      <c r="D21" s="83">
        <v>1.3807767316664161</v>
      </c>
      <c r="E21" s="29">
        <v>120084.98994884834</v>
      </c>
      <c r="F21" s="83">
        <v>3.0983134584595518</v>
      </c>
      <c r="G21" s="29">
        <v>59033.441262275963</v>
      </c>
      <c r="H21" s="83">
        <v>4.6672266691697049</v>
      </c>
      <c r="I21" s="39">
        <v>1184.5925231609374</v>
      </c>
      <c r="J21" s="84">
        <v>34.546529358184408</v>
      </c>
      <c r="K21" s="29">
        <v>41333.971689173239</v>
      </c>
      <c r="L21" s="83">
        <v>5.9923610168988564</v>
      </c>
      <c r="M21" s="29">
        <v>14016.952142341856</v>
      </c>
      <c r="N21" s="83">
        <v>9.935603743644231</v>
      </c>
      <c r="O21" s="29">
        <v>271497.9260697632</v>
      </c>
      <c r="P21" s="83">
        <v>1.8579998904702384</v>
      </c>
      <c r="Q21" s="29">
        <v>6471.6560698399844</v>
      </c>
      <c r="R21" s="81">
        <v>14.367712208185122</v>
      </c>
    </row>
    <row r="22" spans="1:18" s="76" customFormat="1" ht="12.75" x14ac:dyDescent="0.2">
      <c r="A22" s="7" t="str">
        <f>VLOOKUP("&lt;Zeilentitel_8&gt;",Uebersetzungen!$B$3:$E$63,Uebersetzungen!$B$2+1,FALSE)</f>
        <v>Freiburg</v>
      </c>
      <c r="B22" s="104">
        <v>279035.99999999767</v>
      </c>
      <c r="C22" s="125">
        <v>29460.012693906985</v>
      </c>
      <c r="D22" s="83">
        <v>6.2098577812846107</v>
      </c>
      <c r="E22" s="29">
        <v>142974.13229051771</v>
      </c>
      <c r="F22" s="83">
        <v>2.1032429083481032</v>
      </c>
      <c r="G22" s="29">
        <v>11578.438806349053</v>
      </c>
      <c r="H22" s="83">
        <v>11.084613294368294</v>
      </c>
      <c r="I22" s="41">
        <v>194.24847780435636</v>
      </c>
      <c r="J22" s="84">
        <v>78.895141662929504</v>
      </c>
      <c r="K22" s="29">
        <v>12457.19732111852</v>
      </c>
      <c r="L22" s="83">
        <v>11.262689109931239</v>
      </c>
      <c r="M22" s="29">
        <v>2115.5107058548083</v>
      </c>
      <c r="N22" s="83">
        <v>25.004423622558644</v>
      </c>
      <c r="O22" s="29">
        <v>77899.460490173384</v>
      </c>
      <c r="P22" s="83">
        <v>3.5647044223449078</v>
      </c>
      <c r="Q22" s="29">
        <v>2356.9992142728006</v>
      </c>
      <c r="R22" s="81">
        <v>23.878589627064134</v>
      </c>
    </row>
    <row r="23" spans="1:18" s="76" customFormat="1" ht="12.75" x14ac:dyDescent="0.2">
      <c r="A23" s="7" t="str">
        <f>VLOOKUP("&lt;Zeilentitel_9&gt;",Uebersetzungen!$B$3:$E$63,Uebersetzungen!$B$2+1,FALSE)</f>
        <v>Solothurn</v>
      </c>
      <c r="B23" s="104">
        <v>240566.0000000037</v>
      </c>
      <c r="C23" s="125">
        <v>40307.796455482247</v>
      </c>
      <c r="D23" s="83">
        <v>5.1140342160401557</v>
      </c>
      <c r="E23" s="29">
        <v>61568.579771216515</v>
      </c>
      <c r="F23" s="83">
        <v>3.9693563509512395</v>
      </c>
      <c r="G23" s="29">
        <v>13060.278537545595</v>
      </c>
      <c r="H23" s="83">
        <v>10.378112834249492</v>
      </c>
      <c r="I23" s="79" t="s">
        <v>1</v>
      </c>
      <c r="J23" s="83" t="s">
        <v>1</v>
      </c>
      <c r="K23" s="29">
        <v>20576.990432031704</v>
      </c>
      <c r="L23" s="83">
        <v>8.4842196647463073</v>
      </c>
      <c r="M23" s="29">
        <v>3488.3265310533043</v>
      </c>
      <c r="N23" s="83">
        <v>19.869696435860391</v>
      </c>
      <c r="O23" s="29">
        <v>99466.901094002795</v>
      </c>
      <c r="P23" s="83">
        <v>2.8134751715130393</v>
      </c>
      <c r="Q23" s="29">
        <v>2003.4597542056176</v>
      </c>
      <c r="R23" s="81">
        <v>25.888961457498137</v>
      </c>
    </row>
    <row r="24" spans="1:18" s="76" customFormat="1" ht="12.75" x14ac:dyDescent="0.2">
      <c r="A24" s="7" t="str">
        <f>VLOOKUP("&lt;Zeilentitel_10&gt;",Uebersetzungen!$B$3:$E$63,Uebersetzungen!$B$2+1,FALSE)</f>
        <v>Neuenburg</v>
      </c>
      <c r="B24" s="104">
        <v>148771.99999999901</v>
      </c>
      <c r="C24" s="125">
        <v>22649.9545863489</v>
      </c>
      <c r="D24" s="83">
        <v>4.7968335453849011</v>
      </c>
      <c r="E24" s="29">
        <v>26155.522611999513</v>
      </c>
      <c r="F24" s="83">
        <v>4.5033244636764307</v>
      </c>
      <c r="G24" s="29">
        <v>7310.6129515426819</v>
      </c>
      <c r="H24" s="83">
        <v>9.3644316098289586</v>
      </c>
      <c r="I24" s="41">
        <v>232.03969819673256</v>
      </c>
      <c r="J24" s="84">
        <v>53.221540508733568</v>
      </c>
      <c r="K24" s="29">
        <v>7149.243557391007</v>
      </c>
      <c r="L24" s="83">
        <v>9.9462168305050138</v>
      </c>
      <c r="M24" s="29">
        <v>1489.1631589341619</v>
      </c>
      <c r="N24" s="83">
        <v>21.71822829599564</v>
      </c>
      <c r="O24" s="29">
        <v>81406.23593491975</v>
      </c>
      <c r="P24" s="83">
        <v>1.9517600422108052</v>
      </c>
      <c r="Q24" s="29">
        <v>2379.2275006662685</v>
      </c>
      <c r="R24" s="81">
        <v>16.347657603568429</v>
      </c>
    </row>
    <row r="25" spans="1:18" s="76" customFormat="1" ht="12.75" x14ac:dyDescent="0.2">
      <c r="A25" s="7" t="str">
        <f>VLOOKUP("&lt;Zeilentitel_11&gt;",Uebersetzungen!$B$3:$E$63,Uebersetzungen!$B$2+1,FALSE)</f>
        <v>Jura</v>
      </c>
      <c r="B25" s="104">
        <v>62061.999999999527</v>
      </c>
      <c r="C25" s="125">
        <v>5029.666071821759</v>
      </c>
      <c r="D25" s="83">
        <v>15.246373418210812</v>
      </c>
      <c r="E25" s="29">
        <v>36334.47524186784</v>
      </c>
      <c r="F25" s="83">
        <v>3.8333322943953569</v>
      </c>
      <c r="G25" s="29">
        <v>2389.2194955552077</v>
      </c>
      <c r="H25" s="83">
        <v>23.429482000108059</v>
      </c>
      <c r="I25" s="79" t="s">
        <v>1</v>
      </c>
      <c r="J25" s="83" t="s">
        <v>1</v>
      </c>
      <c r="K25" s="29">
        <v>2333.4121969811222</v>
      </c>
      <c r="L25" s="83">
        <v>24.191054882689158</v>
      </c>
      <c r="M25" s="34">
        <v>331.29736252392632</v>
      </c>
      <c r="N25" s="84">
        <v>61.446414709857279</v>
      </c>
      <c r="O25" s="29">
        <v>15019.864837858137</v>
      </c>
      <c r="P25" s="83">
        <v>8.1203285523755326</v>
      </c>
      <c r="Q25" s="34">
        <v>583.32692564418426</v>
      </c>
      <c r="R25" s="82">
        <v>46.989125564629717</v>
      </c>
    </row>
    <row r="26" spans="1:18" s="76" customFormat="1" ht="12.75" x14ac:dyDescent="0.2">
      <c r="A26" s="56" t="str">
        <f>VLOOKUP("&lt;Zeilentitel_12&gt;",Uebersetzungen!$B$3:$E$63,Uebersetzungen!$B$2+1,FALSE)</f>
        <v>Nordwestschweiz</v>
      </c>
      <c r="B26" s="128">
        <v>1023480.9999999931</v>
      </c>
      <c r="C26" s="124">
        <v>194377.76385116522</v>
      </c>
      <c r="D26" s="85">
        <v>1.9329224370844351</v>
      </c>
      <c r="E26" s="57">
        <v>240572.56581342409</v>
      </c>
      <c r="F26" s="85">
        <v>1.6803175064969593</v>
      </c>
      <c r="G26" s="57">
        <v>63053.500800880698</v>
      </c>
      <c r="H26" s="85">
        <v>3.7906318925286202</v>
      </c>
      <c r="I26" s="59">
        <v>2128.4974774095272</v>
      </c>
      <c r="J26" s="85">
        <v>23.557125603594187</v>
      </c>
      <c r="K26" s="57">
        <v>77683.570153916808</v>
      </c>
      <c r="L26" s="85">
        <v>3.6150959142904071</v>
      </c>
      <c r="M26" s="57">
        <v>16474.682492664117</v>
      </c>
      <c r="N26" s="85">
        <v>7.9913908655553509</v>
      </c>
      <c r="O26" s="57">
        <v>422686.38560818648</v>
      </c>
      <c r="P26" s="85">
        <v>1.1532393426991547</v>
      </c>
      <c r="Q26" s="57">
        <v>6504.0338023463619</v>
      </c>
      <c r="R26" s="86">
        <v>12.582209301087348</v>
      </c>
    </row>
    <row r="27" spans="1:18" s="76" customFormat="1" ht="12.75" x14ac:dyDescent="0.2">
      <c r="A27" s="7" t="str">
        <f>VLOOKUP("&lt;Zeilentitel_13&gt;",Uebersetzungen!$B$3:$E$63,Uebersetzungen!$B$2+1,FALSE)</f>
        <v>Basel-Stadt</v>
      </c>
      <c r="B27" s="104">
        <v>167633.000000003</v>
      </c>
      <c r="C27" s="125">
        <v>21078.762644625956</v>
      </c>
      <c r="D27" s="83">
        <v>7.5374441625915312</v>
      </c>
      <c r="E27" s="29">
        <v>22645.561266878918</v>
      </c>
      <c r="F27" s="83">
        <v>7.3166916937809203</v>
      </c>
      <c r="G27" s="29">
        <v>8517.6233112302925</v>
      </c>
      <c r="H27" s="83">
        <v>12.757087974795098</v>
      </c>
      <c r="I27" s="39">
        <v>1012.8606366103126</v>
      </c>
      <c r="J27" s="84">
        <v>37.030834587231006</v>
      </c>
      <c r="K27" s="29">
        <v>14348.400212659482</v>
      </c>
      <c r="L27" s="83">
        <v>10.044866662550582</v>
      </c>
      <c r="M27" s="29">
        <v>3535.2525163541259</v>
      </c>
      <c r="N27" s="83">
        <v>20.273535734511835</v>
      </c>
      <c r="O27" s="29">
        <v>94652.921879201909</v>
      </c>
      <c r="P27" s="83">
        <v>2.5838097056790525</v>
      </c>
      <c r="Q27" s="36">
        <v>1841.6175324419905</v>
      </c>
      <c r="R27" s="82">
        <v>27.886077852183998</v>
      </c>
    </row>
    <row r="28" spans="1:18" s="76" customFormat="1" ht="12.75" x14ac:dyDescent="0.2">
      <c r="A28" s="7" t="str">
        <f>VLOOKUP("&lt;Zeilentitel_14&gt;",Uebersetzungen!$B$3:$E$63,Uebersetzungen!$B$2+1,FALSE)</f>
        <v>Basel-Landschaft</v>
      </c>
      <c r="B28" s="104">
        <v>250951.00000000122</v>
      </c>
      <c r="C28" s="125">
        <v>61341.251124990456</v>
      </c>
      <c r="D28" s="83">
        <v>3.955437715178721</v>
      </c>
      <c r="E28" s="29">
        <v>56808.256113646821</v>
      </c>
      <c r="F28" s="83">
        <v>4.2587179958104837</v>
      </c>
      <c r="G28" s="29">
        <v>13745.453592062138</v>
      </c>
      <c r="H28" s="83">
        <v>9.9966313342580975</v>
      </c>
      <c r="I28" s="41">
        <v>524.25478792604486</v>
      </c>
      <c r="J28" s="84">
        <v>50.265945003064147</v>
      </c>
      <c r="K28" s="29">
        <v>14944.619762664186</v>
      </c>
      <c r="L28" s="83">
        <v>10.143697779999249</v>
      </c>
      <c r="M28" s="29">
        <v>4671.5051150707977</v>
      </c>
      <c r="N28" s="83">
        <v>17.289652919177271</v>
      </c>
      <c r="O28" s="29">
        <v>97602.560830350558</v>
      </c>
      <c r="P28" s="83">
        <v>2.9505427544640339</v>
      </c>
      <c r="Q28" s="36">
        <v>1313.0986732902238</v>
      </c>
      <c r="R28" s="82">
        <v>32.54642507470642</v>
      </c>
    </row>
    <row r="29" spans="1:18" s="76" customFormat="1" ht="12.75" x14ac:dyDescent="0.2">
      <c r="A29" s="7" t="str">
        <f>VLOOKUP("&lt;Zeilentitel_15&gt;",Uebersetzungen!$B$3:$E$63,Uebersetzungen!$B$2+1,FALSE)</f>
        <v>Aargau</v>
      </c>
      <c r="B29" s="104">
        <v>604896.99999998906</v>
      </c>
      <c r="C29" s="125">
        <v>111957.75008154882</v>
      </c>
      <c r="D29" s="83">
        <v>2.1334155781859052</v>
      </c>
      <c r="E29" s="29">
        <v>161118.74843289837</v>
      </c>
      <c r="F29" s="83">
        <v>1.7270079938224954</v>
      </c>
      <c r="G29" s="29">
        <v>40790.423897588269</v>
      </c>
      <c r="H29" s="83">
        <v>3.9862474509501058</v>
      </c>
      <c r="I29" s="41">
        <v>591.38205287316964</v>
      </c>
      <c r="J29" s="84">
        <v>34.361384265213466</v>
      </c>
      <c r="K29" s="29">
        <v>48390.550178593141</v>
      </c>
      <c r="L29" s="83">
        <v>3.8723956821468857</v>
      </c>
      <c r="M29" s="29">
        <v>8267.924861239193</v>
      </c>
      <c r="N29" s="83">
        <v>9.1096092572562632</v>
      </c>
      <c r="O29" s="29">
        <v>230430.90289863403</v>
      </c>
      <c r="P29" s="83">
        <v>1.3366753467147687</v>
      </c>
      <c r="Q29" s="29">
        <v>3349.317596614148</v>
      </c>
      <c r="R29" s="81">
        <v>14.109292299846096</v>
      </c>
    </row>
    <row r="30" spans="1:18" s="76" customFormat="1" ht="12.75" x14ac:dyDescent="0.2">
      <c r="A30" s="7" t="str">
        <f>VLOOKUP("&lt;Zeilentitel_16&gt;",Uebersetzungen!$B$3:$E$63,Uebersetzungen!$B$2+1,FALSE)</f>
        <v>Zürich</v>
      </c>
      <c r="B30" s="105">
        <v>1333436.0000000056</v>
      </c>
      <c r="C30" s="125">
        <v>299182.56815018714</v>
      </c>
      <c r="D30" s="83">
        <v>1.8189215797789211</v>
      </c>
      <c r="E30" s="29">
        <v>293369.12447376637</v>
      </c>
      <c r="F30" s="83">
        <v>1.8934299653792401</v>
      </c>
      <c r="G30" s="29">
        <v>85375.007753464975</v>
      </c>
      <c r="H30" s="83">
        <v>3.9411394484320357</v>
      </c>
      <c r="I30" s="31">
        <v>6399.8240193398269</v>
      </c>
      <c r="J30" s="83">
        <v>14.840401877862304</v>
      </c>
      <c r="K30" s="29">
        <v>91242.779823260877</v>
      </c>
      <c r="L30" s="83">
        <v>4.0076515843126757</v>
      </c>
      <c r="M30" s="29">
        <v>22612.588926919376</v>
      </c>
      <c r="N30" s="83">
        <v>7.8584384012589057</v>
      </c>
      <c r="O30" s="29">
        <v>526888.65734849335</v>
      </c>
      <c r="P30" s="83">
        <v>1.261276478772043</v>
      </c>
      <c r="Q30" s="29">
        <v>8365.449504573653</v>
      </c>
      <c r="R30" s="81">
        <v>12.685307044745288</v>
      </c>
    </row>
    <row r="31" spans="1:18" s="76" customFormat="1" ht="12.75" x14ac:dyDescent="0.2">
      <c r="A31" s="56" t="str">
        <f>VLOOKUP("&lt;Zeilentitel_17&gt;",Uebersetzungen!$B$3:$E$63,Uebersetzungen!$B$2+1,FALSE)</f>
        <v>Ostschweiz</v>
      </c>
      <c r="B31" s="127">
        <v>1032478.0000000037</v>
      </c>
      <c r="C31" s="124">
        <v>235142.91194887989</v>
      </c>
      <c r="D31" s="85">
        <v>2.0544413547519595</v>
      </c>
      <c r="E31" s="57">
        <v>344861.79402202496</v>
      </c>
      <c r="F31" s="85">
        <v>1.6013756067134564</v>
      </c>
      <c r="G31" s="57">
        <v>61268.525835002307</v>
      </c>
      <c r="H31" s="85">
        <v>4.7152002064406497</v>
      </c>
      <c r="I31" s="87">
        <v>1015.9284623612029</v>
      </c>
      <c r="J31" s="88">
        <v>39.31816361234219</v>
      </c>
      <c r="K31" s="57">
        <v>68819.382298534241</v>
      </c>
      <c r="L31" s="85">
        <v>4.7141794025233796</v>
      </c>
      <c r="M31" s="57">
        <v>11607.982953241517</v>
      </c>
      <c r="N31" s="85">
        <v>11.138511321461211</v>
      </c>
      <c r="O31" s="57">
        <v>304057.75896526588</v>
      </c>
      <c r="P31" s="85">
        <v>1.7933642452024992</v>
      </c>
      <c r="Q31" s="57">
        <v>5703.7155146937375</v>
      </c>
      <c r="R31" s="86">
        <v>15.45576733456954</v>
      </c>
    </row>
    <row r="32" spans="1:18" s="76" customFormat="1" ht="12.75" x14ac:dyDescent="0.2">
      <c r="A32" s="7" t="str">
        <f>VLOOKUP("&lt;Zeilentitel_18&gt;",Uebersetzungen!$B$3:$E$63,Uebersetzungen!$B$2+1,FALSE)</f>
        <v>Glarus</v>
      </c>
      <c r="B32" s="104">
        <v>34960.000000000007</v>
      </c>
      <c r="C32" s="125">
        <v>10157.349891268077</v>
      </c>
      <c r="D32" s="83">
        <v>9.9751866851794233</v>
      </c>
      <c r="E32" s="29">
        <v>9361.7863411414</v>
      </c>
      <c r="F32" s="83">
        <v>10.527853623707648</v>
      </c>
      <c r="G32" s="29">
        <v>2142.4072788446242</v>
      </c>
      <c r="H32" s="83">
        <v>25.805257205115826</v>
      </c>
      <c r="I32" s="80" t="s">
        <v>1</v>
      </c>
      <c r="J32" s="83" t="s">
        <v>1</v>
      </c>
      <c r="K32" s="29">
        <v>3269.2797192152711</v>
      </c>
      <c r="L32" s="83">
        <v>21.285751829236393</v>
      </c>
      <c r="M32" s="34">
        <v>227.89557791739685</v>
      </c>
      <c r="N32" s="84">
        <v>79.937219984917277</v>
      </c>
      <c r="O32" s="29">
        <v>9482.6874736542686</v>
      </c>
      <c r="P32" s="83">
        <v>10.461347299940535</v>
      </c>
      <c r="Q32" s="34">
        <v>318.59371795896777</v>
      </c>
      <c r="R32" s="82">
        <v>68.720685221213699</v>
      </c>
    </row>
    <row r="33" spans="1:18" s="76" customFormat="1" ht="12.75" x14ac:dyDescent="0.2">
      <c r="A33" s="7" t="str">
        <f>VLOOKUP("&lt;Zeilentitel_19&gt;",Uebersetzungen!$B$3:$E$63,Uebersetzungen!$B$2+1,FALSE)</f>
        <v>Schaffhausen</v>
      </c>
      <c r="B33" s="104">
        <v>73073.000000000655</v>
      </c>
      <c r="C33" s="125">
        <v>20834.959232354297</v>
      </c>
      <c r="D33" s="83">
        <v>6.6930424044500274</v>
      </c>
      <c r="E33" s="29">
        <v>13588.619397001696</v>
      </c>
      <c r="F33" s="83">
        <v>9.1102950990770211</v>
      </c>
      <c r="G33" s="29">
        <v>4698.1665271102956</v>
      </c>
      <c r="H33" s="83">
        <v>17.32000256591105</v>
      </c>
      <c r="I33" s="79" t="s">
        <v>1</v>
      </c>
      <c r="J33" s="83" t="s">
        <v>1</v>
      </c>
      <c r="K33" s="29">
        <v>6644.8980854238944</v>
      </c>
      <c r="L33" s="83">
        <v>14.961202298468509</v>
      </c>
      <c r="M33" s="36">
        <v>1618.4920720480886</v>
      </c>
      <c r="N33" s="84">
        <v>29.225698310964642</v>
      </c>
      <c r="O33" s="29">
        <v>25126.028923887872</v>
      </c>
      <c r="P33" s="83">
        <v>6.2311772922502167</v>
      </c>
      <c r="Q33" s="34">
        <v>484.67141686185141</v>
      </c>
      <c r="R33" s="82">
        <v>54.446577794319857</v>
      </c>
    </row>
    <row r="34" spans="1:18" s="76" customFormat="1" ht="12.75" x14ac:dyDescent="0.2">
      <c r="A34" s="7" t="str">
        <f>VLOOKUP("&lt;Zeilentitel_20&gt;",Uebersetzungen!$B$3:$E$63,Uebersetzungen!$B$2+1,FALSE)</f>
        <v>Appenzell Ausserrhoden</v>
      </c>
      <c r="B34" s="104">
        <v>46579.000000000247</v>
      </c>
      <c r="C34" s="125">
        <v>15626.254235624638</v>
      </c>
      <c r="D34" s="83">
        <v>7.4654737005137548</v>
      </c>
      <c r="E34" s="29">
        <v>12125.823495669834</v>
      </c>
      <c r="F34" s="83">
        <v>9.2253232017349305</v>
      </c>
      <c r="G34" s="29">
        <v>3258.0122785622584</v>
      </c>
      <c r="H34" s="83">
        <v>21.170963425096428</v>
      </c>
      <c r="I34" s="79" t="s">
        <v>1</v>
      </c>
      <c r="J34" s="83" t="s">
        <v>1</v>
      </c>
      <c r="K34" s="36">
        <v>1507.2890520236085</v>
      </c>
      <c r="L34" s="84">
        <v>33.334004213748031</v>
      </c>
      <c r="M34" s="34">
        <v>312.81415565663877</v>
      </c>
      <c r="N34" s="84">
        <v>68.293623288593153</v>
      </c>
      <c r="O34" s="29">
        <v>13404.656124832147</v>
      </c>
      <c r="P34" s="83">
        <v>8.6181812827189717</v>
      </c>
      <c r="Q34" s="34">
        <v>310.58834832353756</v>
      </c>
      <c r="R34" s="82">
        <v>64.381427742820506</v>
      </c>
    </row>
    <row r="35" spans="1:18" s="76" customFormat="1" ht="12.75" x14ac:dyDescent="0.2">
      <c r="A35" s="7" t="str">
        <f>VLOOKUP("&lt;Zeilentitel_21&gt;",Uebersetzungen!$B$3:$E$63,Uebersetzungen!$B$2+1,FALSE)</f>
        <v>Appenzell Innerrhoden</v>
      </c>
      <c r="B35" s="104">
        <v>13537.000000000053</v>
      </c>
      <c r="C35" s="126">
        <v>1215.6534387485153</v>
      </c>
      <c r="D35" s="84">
        <v>31.756902696998967</v>
      </c>
      <c r="E35" s="29">
        <v>9382.8348881994934</v>
      </c>
      <c r="F35" s="83">
        <v>7.0922720832215154</v>
      </c>
      <c r="G35" s="34">
        <v>310.57181427736725</v>
      </c>
      <c r="H35" s="84">
        <v>68.100369417435886</v>
      </c>
      <c r="I35" s="31" t="s">
        <v>1</v>
      </c>
      <c r="J35" s="83" t="s">
        <v>1</v>
      </c>
      <c r="K35" s="34">
        <v>276.21965676694754</v>
      </c>
      <c r="L35" s="84">
        <v>73.423224879295461</v>
      </c>
      <c r="M35" s="38" t="s">
        <v>1</v>
      </c>
      <c r="N35" s="83" t="s">
        <v>1</v>
      </c>
      <c r="O35" s="29">
        <v>2265.5073872091771</v>
      </c>
      <c r="P35" s="83">
        <v>23.675512816429165</v>
      </c>
      <c r="Q35" s="38" t="s">
        <v>1</v>
      </c>
      <c r="R35" s="81" t="s">
        <v>1</v>
      </c>
    </row>
    <row r="36" spans="1:18" s="76" customFormat="1" ht="12.75" x14ac:dyDescent="0.2">
      <c r="A36" s="7" t="str">
        <f>VLOOKUP("&lt;Zeilentitel_22&gt;",Uebersetzungen!$B$3:$E$63,Uebersetzungen!$B$2+1,FALSE)</f>
        <v>St. Gallen</v>
      </c>
      <c r="B36" s="104">
        <v>444144.00000000728</v>
      </c>
      <c r="C36" s="125">
        <v>76524.66990771034</v>
      </c>
      <c r="D36" s="83">
        <v>3.7681797348311568</v>
      </c>
      <c r="E36" s="29">
        <v>167426.11701654978</v>
      </c>
      <c r="F36" s="83">
        <v>2.2370365464575404</v>
      </c>
      <c r="G36" s="29">
        <v>29671.612620799271</v>
      </c>
      <c r="H36" s="83">
        <v>6.7422754284201787</v>
      </c>
      <c r="I36" s="41">
        <v>634.06971648459682</v>
      </c>
      <c r="J36" s="84">
        <v>50.790903745122449</v>
      </c>
      <c r="K36" s="29">
        <v>35952.76944376032</v>
      </c>
      <c r="L36" s="83">
        <v>6.4633710523141188</v>
      </c>
      <c r="M36" s="29">
        <v>5399.4261875066213</v>
      </c>
      <c r="N36" s="83">
        <v>16.461354640680316</v>
      </c>
      <c r="O36" s="29">
        <v>126143.20909888654</v>
      </c>
      <c r="P36" s="83">
        <v>2.8024024570706723</v>
      </c>
      <c r="Q36" s="29">
        <v>2392.1260083098214</v>
      </c>
      <c r="R36" s="81">
        <v>23.908492446361464</v>
      </c>
    </row>
    <row r="37" spans="1:18" s="76" customFormat="1" ht="12.75" x14ac:dyDescent="0.2">
      <c r="A37" s="65" t="str">
        <f>VLOOKUP("&lt;Zeilentitel_23&gt;",Uebersetzungen!$B$3:$E$63,Uebersetzungen!$B$2+1,FALSE)</f>
        <v>Graubünden</v>
      </c>
      <c r="B37" s="104">
        <v>174610.99999999735</v>
      </c>
      <c r="C37" s="125">
        <v>46451.277193643553</v>
      </c>
      <c r="D37" s="83">
        <v>4.5116948289592891</v>
      </c>
      <c r="E37" s="29">
        <v>65101.883424798325</v>
      </c>
      <c r="F37" s="83">
        <v>3.5879634808085048</v>
      </c>
      <c r="G37" s="29">
        <v>6276.0397887954068</v>
      </c>
      <c r="H37" s="83">
        <v>14.772799664337814</v>
      </c>
      <c r="I37" s="79" t="s">
        <v>1</v>
      </c>
      <c r="J37" s="83" t="s">
        <v>1</v>
      </c>
      <c r="K37" s="29">
        <v>4219.8234205898461</v>
      </c>
      <c r="L37" s="83">
        <v>18.760334076428251</v>
      </c>
      <c r="M37" s="36">
        <v>1598.5394274393052</v>
      </c>
      <c r="N37" s="84">
        <v>29.958577182667504</v>
      </c>
      <c r="O37" s="29">
        <v>49609.497694288853</v>
      </c>
      <c r="P37" s="83">
        <v>4.3917965360513254</v>
      </c>
      <c r="Q37" s="36">
        <v>1189.859837386344</v>
      </c>
      <c r="R37" s="82">
        <v>33.168111090095223</v>
      </c>
    </row>
    <row r="38" spans="1:18" s="76" customFormat="1" ht="12.75" x14ac:dyDescent="0.2">
      <c r="A38" s="7" t="str">
        <f>VLOOKUP("&lt;Zeilentitel_24&gt;",Uebersetzungen!$B$3:$E$63,Uebersetzungen!$B$2+1,FALSE)</f>
        <v>Thurgau</v>
      </c>
      <c r="B38" s="104">
        <v>245573.99999999811</v>
      </c>
      <c r="C38" s="125">
        <v>64332.748049530448</v>
      </c>
      <c r="D38" s="83">
        <v>3.8545154593895963</v>
      </c>
      <c r="E38" s="29">
        <v>67874.729458664442</v>
      </c>
      <c r="F38" s="83">
        <v>3.8464781517533413</v>
      </c>
      <c r="G38" s="29">
        <v>14911.715526613087</v>
      </c>
      <c r="H38" s="83">
        <v>9.4741501823636973</v>
      </c>
      <c r="I38" s="79" t="s">
        <v>1</v>
      </c>
      <c r="J38" s="83" t="s">
        <v>1</v>
      </c>
      <c r="K38" s="29">
        <v>16949.102920754354</v>
      </c>
      <c r="L38" s="83">
        <v>9.7529166250381358</v>
      </c>
      <c r="M38" s="29">
        <v>2405.4188846288857</v>
      </c>
      <c r="N38" s="83">
        <v>24.31615094759762</v>
      </c>
      <c r="O38" s="29">
        <v>78026.17226250704</v>
      </c>
      <c r="P38" s="83">
        <v>3.4940684766197259</v>
      </c>
      <c r="Q38" s="34">
        <v>967.06001909924566</v>
      </c>
      <c r="R38" s="82">
        <v>37.355629764258204</v>
      </c>
    </row>
    <row r="39" spans="1:18" s="76" customFormat="1" ht="12.75" x14ac:dyDescent="0.2">
      <c r="A39" s="56" t="str">
        <f>VLOOKUP("&lt;Zeilentitel_25&gt;",Uebersetzungen!$B$3:$E$63,Uebersetzungen!$B$2+1,FALSE)</f>
        <v>Zentralschweiz</v>
      </c>
      <c r="B39" s="128">
        <v>711875.99999999313</v>
      </c>
      <c r="C39" s="124">
        <v>63802.917539277529</v>
      </c>
      <c r="D39" s="85">
        <v>3.5042528952546181</v>
      </c>
      <c r="E39" s="57">
        <v>364546.30946513143</v>
      </c>
      <c r="F39" s="85">
        <v>1.0709289403652047</v>
      </c>
      <c r="G39" s="57">
        <v>33369.032382800367</v>
      </c>
      <c r="H39" s="85">
        <v>5.1357557377896121</v>
      </c>
      <c r="I39" s="89">
        <v>729.30301250304512</v>
      </c>
      <c r="J39" s="88">
        <v>35.579873692367947</v>
      </c>
      <c r="K39" s="57">
        <v>33141.095420737023</v>
      </c>
      <c r="L39" s="85">
        <v>5.4696914489045509</v>
      </c>
      <c r="M39" s="57">
        <v>7734.9155201928143</v>
      </c>
      <c r="N39" s="85">
        <v>10.586020105476898</v>
      </c>
      <c r="O39" s="57">
        <v>204775.50505183969</v>
      </c>
      <c r="P39" s="85">
        <v>1.7625794781472359</v>
      </c>
      <c r="Q39" s="57">
        <v>3776.9216075111972</v>
      </c>
      <c r="R39" s="86">
        <v>15.0935854086087</v>
      </c>
    </row>
    <row r="40" spans="1:18" s="76" customFormat="1" ht="12.75" x14ac:dyDescent="0.2">
      <c r="A40" s="7" t="str">
        <f>VLOOKUP("&lt;Zeilentitel_26&gt;",Uebersetzungen!$B$3:$E$63,Uebersetzungen!$B$2+1,FALSE)</f>
        <v>Luzern</v>
      </c>
      <c r="B40" s="104">
        <v>358552.99999999435</v>
      </c>
      <c r="C40" s="125">
        <v>29679.476762916078</v>
      </c>
      <c r="D40" s="83">
        <v>4.4521106664556198</v>
      </c>
      <c r="E40" s="29">
        <v>182950.19016710075</v>
      </c>
      <c r="F40" s="83">
        <v>1.314141028171578</v>
      </c>
      <c r="G40" s="29">
        <v>17649.780234260445</v>
      </c>
      <c r="H40" s="83">
        <v>6.3005191065690376</v>
      </c>
      <c r="I40" s="41">
        <v>371.07706492998972</v>
      </c>
      <c r="J40" s="84">
        <v>46.007482823827971</v>
      </c>
      <c r="K40" s="29">
        <v>18573.143439853742</v>
      </c>
      <c r="L40" s="83">
        <v>6.440382703415894</v>
      </c>
      <c r="M40" s="29">
        <v>4455.7933833650131</v>
      </c>
      <c r="N40" s="83">
        <v>12.307273090945774</v>
      </c>
      <c r="O40" s="29">
        <v>102800.61247597248</v>
      </c>
      <c r="P40" s="83">
        <v>2.1654893929490751</v>
      </c>
      <c r="Q40" s="29">
        <v>2072.926471595827</v>
      </c>
      <c r="R40" s="81">
        <v>17.873563145553884</v>
      </c>
    </row>
    <row r="41" spans="1:18" s="76" customFormat="1" ht="12.75" x14ac:dyDescent="0.2">
      <c r="A41" s="7" t="str">
        <f>VLOOKUP("&lt;Zeilentitel_27&gt;",Uebersetzungen!$B$3:$E$63,Uebersetzungen!$B$2+1,FALSE)</f>
        <v>Uri</v>
      </c>
      <c r="B41" s="104">
        <v>31562.000000000076</v>
      </c>
      <c r="C41" s="126">
        <v>1281.0561607330033</v>
      </c>
      <c r="D41" s="84">
        <v>31.512576707952984</v>
      </c>
      <c r="E41" s="29">
        <v>21852.229488869496</v>
      </c>
      <c r="F41" s="83">
        <v>4.3490609789952499</v>
      </c>
      <c r="G41" s="36">
        <v>1083.6609615194038</v>
      </c>
      <c r="H41" s="84">
        <v>35.800717350948723</v>
      </c>
      <c r="I41" s="31" t="s">
        <v>1</v>
      </c>
      <c r="J41" s="83" t="s">
        <v>1</v>
      </c>
      <c r="K41" s="34">
        <v>509.03534317615095</v>
      </c>
      <c r="L41" s="84">
        <v>57.6655822264864</v>
      </c>
      <c r="M41" s="38" t="s">
        <v>1</v>
      </c>
      <c r="N41" s="83" t="s">
        <v>1</v>
      </c>
      <c r="O41" s="29">
        <v>6514.4919478612783</v>
      </c>
      <c r="P41" s="83">
        <v>13.323830368320213</v>
      </c>
      <c r="Q41" s="34">
        <v>171.90197584050625</v>
      </c>
      <c r="R41" s="82">
        <v>87.091822423429036</v>
      </c>
    </row>
    <row r="42" spans="1:18" s="76" customFormat="1" ht="12.75" x14ac:dyDescent="0.2">
      <c r="A42" s="7" t="str">
        <f>VLOOKUP("&lt;Zeilentitel_28&gt;",Uebersetzungen!$B$3:$E$63,Uebersetzungen!$B$2+1,FALSE)</f>
        <v>Schwyz</v>
      </c>
      <c r="B42" s="104">
        <v>140631.00000000006</v>
      </c>
      <c r="C42" s="125">
        <v>14586.601309302127</v>
      </c>
      <c r="D42" s="83">
        <v>8.9310592775770754</v>
      </c>
      <c r="E42" s="29">
        <v>71799.768169674353</v>
      </c>
      <c r="F42" s="83">
        <v>2.9954552155951384</v>
      </c>
      <c r="G42" s="29">
        <v>5235.2357680243986</v>
      </c>
      <c r="H42" s="83">
        <v>16.595209079851383</v>
      </c>
      <c r="I42" s="79" t="s">
        <v>1</v>
      </c>
      <c r="J42" s="83" t="s">
        <v>1</v>
      </c>
      <c r="K42" s="29">
        <v>7051.9340397054684</v>
      </c>
      <c r="L42" s="83">
        <v>14.794756323603432</v>
      </c>
      <c r="M42" s="36">
        <v>1292.8149838576046</v>
      </c>
      <c r="N42" s="84">
        <v>32.90508575907586</v>
      </c>
      <c r="O42" s="29">
        <v>40134.848427149664</v>
      </c>
      <c r="P42" s="83">
        <v>4.8974460405581937</v>
      </c>
      <c r="Q42" s="34">
        <v>425.35999010702528</v>
      </c>
      <c r="R42" s="82">
        <v>58.75643312562417</v>
      </c>
    </row>
    <row r="43" spans="1:18" s="76" customFormat="1" ht="12.75" x14ac:dyDescent="0.2">
      <c r="A43" s="7" t="str">
        <f>VLOOKUP("&lt;Zeilentitel_29&gt;",Uebersetzungen!$B$3:$E$63,Uebersetzungen!$B$2+1,FALSE)</f>
        <v>Obwalden</v>
      </c>
      <c r="B43" s="104">
        <v>32753.000000000193</v>
      </c>
      <c r="C43" s="125">
        <v>2569.0758904010959</v>
      </c>
      <c r="D43" s="83">
        <v>21.412088019968998</v>
      </c>
      <c r="E43" s="29">
        <v>19622.904296917553</v>
      </c>
      <c r="F43" s="83">
        <v>5.04934839477602</v>
      </c>
      <c r="G43" s="36">
        <v>1070.9655428772248</v>
      </c>
      <c r="H43" s="84">
        <v>34.592832591011984</v>
      </c>
      <c r="I43" s="79" t="s">
        <v>1</v>
      </c>
      <c r="J43" s="83" t="s">
        <v>1</v>
      </c>
      <c r="K43" s="34">
        <v>986.51403246369352</v>
      </c>
      <c r="L43" s="84">
        <v>38.75758758105345</v>
      </c>
      <c r="M43" s="38" t="s">
        <v>1</v>
      </c>
      <c r="N43" s="83" t="s">
        <v>1</v>
      </c>
      <c r="O43" s="29">
        <v>8204.4037056177458</v>
      </c>
      <c r="P43" s="83">
        <v>10.90603783755089</v>
      </c>
      <c r="Q43" s="38" t="s">
        <v>1</v>
      </c>
      <c r="R43" s="81" t="s">
        <v>1</v>
      </c>
    </row>
    <row r="44" spans="1:18" s="76" customFormat="1" ht="12.75" x14ac:dyDescent="0.2">
      <c r="A44" s="7" t="str">
        <f>VLOOKUP("&lt;Zeilentitel_30&gt;",Uebersetzungen!$B$3:$E$63,Uebersetzungen!$B$2+1,FALSE)</f>
        <v>Nidwalden</v>
      </c>
      <c r="B44" s="104">
        <v>38257.999999999942</v>
      </c>
      <c r="C44" s="125">
        <v>3497.7861110424105</v>
      </c>
      <c r="D44" s="83">
        <v>18.305945662433498</v>
      </c>
      <c r="E44" s="29">
        <v>21163.833601635568</v>
      </c>
      <c r="F44" s="83">
        <v>5.2748588942505901</v>
      </c>
      <c r="G44" s="36">
        <v>1383.1618746591937</v>
      </c>
      <c r="H44" s="84">
        <v>32.733104203913612</v>
      </c>
      <c r="I44" s="79" t="s">
        <v>1</v>
      </c>
      <c r="J44" s="83" t="s">
        <v>1</v>
      </c>
      <c r="K44" s="36">
        <v>1075.4965791575569</v>
      </c>
      <c r="L44" s="84">
        <v>41.187020899396359</v>
      </c>
      <c r="M44" s="34">
        <v>298.18330599030281</v>
      </c>
      <c r="N44" s="84">
        <v>74.3690098700107</v>
      </c>
      <c r="O44" s="29">
        <v>10467.017892191596</v>
      </c>
      <c r="P44" s="83">
        <v>9.6016121203252673</v>
      </c>
      <c r="Q44" s="34">
        <v>299.25189377583388</v>
      </c>
      <c r="R44" s="82">
        <v>70.211322518092288</v>
      </c>
    </row>
    <row r="45" spans="1:18" s="76" customFormat="1" ht="12.75" x14ac:dyDescent="0.2">
      <c r="A45" s="7" t="str">
        <f>VLOOKUP("&lt;Zeilentitel_31&gt;",Uebersetzungen!$B$3:$E$63,Uebersetzungen!$B$2+1,FALSE)</f>
        <v>Zug</v>
      </c>
      <c r="B45" s="104">
        <v>110118.9999999985</v>
      </c>
      <c r="C45" s="125">
        <v>12188.921304882817</v>
      </c>
      <c r="D45" s="83">
        <v>6.7662580692377841</v>
      </c>
      <c r="E45" s="29">
        <v>47157.383740933721</v>
      </c>
      <c r="F45" s="83">
        <v>2.768390673067822</v>
      </c>
      <c r="G45" s="29">
        <v>6946.2280014597045</v>
      </c>
      <c r="H45" s="83">
        <v>9.6871203480637309</v>
      </c>
      <c r="I45" s="41">
        <v>147.43669287782197</v>
      </c>
      <c r="J45" s="84">
        <v>68.745231976215464</v>
      </c>
      <c r="K45" s="29">
        <v>4944.9719863804148</v>
      </c>
      <c r="L45" s="83">
        <v>11.7570356265444</v>
      </c>
      <c r="M45" s="29">
        <v>1402.4933126135536</v>
      </c>
      <c r="N45" s="83">
        <v>21.896997239655544</v>
      </c>
      <c r="O45" s="29">
        <v>36654.130603046928</v>
      </c>
      <c r="P45" s="83">
        <v>3.4980985358784915</v>
      </c>
      <c r="Q45" s="34">
        <v>677.43435780353798</v>
      </c>
      <c r="R45" s="82">
        <v>30.554141770692489</v>
      </c>
    </row>
    <row r="46" spans="1:18" s="76" customFormat="1" ht="13.5" thickBot="1" x14ac:dyDescent="0.25">
      <c r="A46" s="129" t="str">
        <f>VLOOKUP("&lt;Zeilentitel_32&gt;",Uebersetzungen!$B$3:$E$63,Uebersetzungen!$B$2+1,FALSE)</f>
        <v>Tessin</v>
      </c>
      <c r="B46" s="138">
        <v>306302.00000000076</v>
      </c>
      <c r="C46" s="139">
        <v>9845.1183241836352</v>
      </c>
      <c r="D46" s="140">
        <v>7.9352877010391314</v>
      </c>
      <c r="E46" s="131">
        <v>172808.71070519224</v>
      </c>
      <c r="F46" s="140">
        <v>1.2696150641938029</v>
      </c>
      <c r="G46" s="131">
        <v>17193.374874533383</v>
      </c>
      <c r="H46" s="140">
        <v>6.3027282311140791</v>
      </c>
      <c r="I46" s="141">
        <v>218.89674176895522</v>
      </c>
      <c r="J46" s="142">
        <v>55.551505136901127</v>
      </c>
      <c r="K46" s="131">
        <v>6834.0766996790089</v>
      </c>
      <c r="L46" s="140">
        <v>10.769540028933072</v>
      </c>
      <c r="M46" s="131">
        <v>2382.0338766231166</v>
      </c>
      <c r="N46" s="140">
        <v>17.101499350516146</v>
      </c>
      <c r="O46" s="131">
        <v>93497.947929824964</v>
      </c>
      <c r="P46" s="140">
        <v>2.2823206835526308</v>
      </c>
      <c r="Q46" s="131">
        <v>3521.8408481954007</v>
      </c>
      <c r="R46" s="143">
        <v>13.476097770865364</v>
      </c>
    </row>
    <row r="47" spans="1:18" s="76" customFormat="1" ht="12.75" x14ac:dyDescent="0.2">
      <c r="A47" s="8"/>
      <c r="B47" s="5"/>
      <c r="C47" s="9"/>
      <c r="D47" s="10"/>
      <c r="E47" s="10"/>
      <c r="F47" s="10"/>
      <c r="G47" s="11"/>
      <c r="H47" s="12"/>
      <c r="I47" s="11"/>
      <c r="J47" s="12"/>
      <c r="K47" s="11"/>
      <c r="L47" s="12"/>
      <c r="M47" s="11"/>
      <c r="N47" s="12"/>
      <c r="O47" s="11"/>
      <c r="P47" s="12"/>
      <c r="Q47" s="11"/>
      <c r="R47" s="12"/>
    </row>
    <row r="48" spans="1:18" s="76" customFormat="1" ht="12.75" x14ac:dyDescent="0.2">
      <c r="A48" s="16" t="str">
        <f>VLOOKUP("&lt;Legende_1&gt;",Uebersetzungen!$B$3:$E$63,Uebersetzungen!$B$2+1,FALSE)</f>
        <v xml:space="preserve">Ab 2010 stammen die Daten aus einer Stichprobenerhebung der ständigen Wohnbevölkerung ab vollendetem 15. Altersjahr, die in Privathaushalten lebt. </v>
      </c>
      <c r="B48" s="5"/>
      <c r="C48" s="9"/>
      <c r="D48" s="10"/>
      <c r="E48" s="10"/>
      <c r="F48" s="10"/>
      <c r="G48" s="11"/>
      <c r="H48" s="12"/>
      <c r="I48" s="11"/>
      <c r="J48" s="12"/>
      <c r="K48" s="11"/>
      <c r="L48" s="12"/>
      <c r="M48" s="11"/>
      <c r="N48" s="12"/>
      <c r="O48" s="11"/>
      <c r="P48" s="12"/>
      <c r="Q48" s="11"/>
      <c r="R48" s="12"/>
    </row>
    <row r="49" spans="1:18" s="76" customFormat="1" ht="12.75" x14ac:dyDescent="0.2">
      <c r="A49" s="16" t="str">
        <f>VLOOKUP("&lt;Legende_2&gt;",Uebersetzungen!$B$3:$E$63,Uebersetzungen!$B$2+1,FALSE)</f>
        <v>Nicht befragt wurden Diplomaten, internationale Funktionäre und deren Familienangehörige. Diese Daten sind mit jenen der frühreren Jahre nicht direkt vergleichbar.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s="76" customFormat="1" ht="12.75" x14ac:dyDescent="0.2">
      <c r="A50" s="16" t="str">
        <f>VLOOKUP("&lt;Legende_3&gt;",Uebersetzungen!$B$3:$E$63,Uebersetzungen!$B$2+1,FALSE)</f>
        <v>Das Vertrauensintervall zeigt die Genauigkeit der Resultate einer Stichprobenerhebung.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1:18" s="76" customFormat="1" ht="12.75" x14ac:dyDescent="0.2">
      <c r="A51" s="16" t="str">
        <f>VLOOKUP("&lt;Legende_4&gt;",Uebersetzungen!$B$3:$E$63,Uebersetzungen!$B$2+1,FALSE)</f>
        <v>(): Extrapolation aufgrund von 49 oder weniger Beobachtungen. Die Resultate sind mit grosser Vorsicht zu interpretieren.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s="76" customFormat="1" ht="12.75" x14ac:dyDescent="0.2">
      <c r="A52" s="13" t="str">
        <f>VLOOKUP("&lt;Legende_5&gt;",Uebersetzungen!$B$3:$E$63,Uebersetzungen!$B$2+1,FALSE)</f>
        <v>X: Extrapolation aufgrund von 4 oder weniger Beobachtungen. Die Resultate werden aus Gründen des Datenschutzes nicht publiziert.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s="76" customFormat="1" ht="12.75" x14ac:dyDescent="0.2">
      <c r="A53" s="13" t="str">
        <f>VLOOKUP("&lt;Legende_6&gt;",Uebersetzungen!$B$3:$E$63,Uebersetzungen!$B$2+1,FALSE)</f>
        <v>* inkl. andere aus dem Islam hervorgegangene Gemeinschaften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 s="76" customFormat="1" ht="12.75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18" s="76" customFormat="1" ht="12.75" x14ac:dyDescent="0.2">
      <c r="A55" s="16" t="str">
        <f>VLOOKUP("&lt;quelle_1&gt;",Uebersetzungen!$B$3:$E$63,Uebersetzungen!$B$2+1,FALSE)</f>
        <v>Quelle: BFS (Strukturerhebung)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8" s="76" customFormat="1" ht="12.75" x14ac:dyDescent="0.2">
      <c r="A56" s="13" t="str">
        <f>VLOOKUP("&lt;aktualisierung&gt;",Uebersetzungen!$B$3:$E$213,Uebersetzungen!$B$2+1,FALSE)</f>
        <v>Letztmals aktualisiert am: 29.01.2026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</sheetData>
  <sheetProtection sheet="1" objects="1" scenarios="1"/>
  <mergeCells count="11">
    <mergeCell ref="Q13:R13"/>
    <mergeCell ref="A7:D7"/>
    <mergeCell ref="B12:R12"/>
    <mergeCell ref="B13:B14"/>
    <mergeCell ref="C13:D13"/>
    <mergeCell ref="E13:F13"/>
    <mergeCell ref="G13:H13"/>
    <mergeCell ref="I13:J13"/>
    <mergeCell ref="K13:L13"/>
    <mergeCell ref="M13:N13"/>
    <mergeCell ref="O13:P13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Option Button 1">
              <controlPr defaultSize="0" autoFill="0" autoLine="0" autoPict="0">
                <anchor moveWithCells="1">
                  <from>
                    <xdr:col>6</xdr:col>
                    <xdr:colOff>295275</xdr:colOff>
                    <xdr:row>1</xdr:row>
                    <xdr:rowOff>114300</xdr:rowOff>
                  </from>
                  <to>
                    <xdr:col>7</xdr:col>
                    <xdr:colOff>695325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4" r:id="rId5" name="Option Button 2">
              <controlPr defaultSize="0" autoFill="0" autoLine="0" autoPict="0">
                <anchor moveWithCells="1">
                  <from>
                    <xdr:col>6</xdr:col>
                    <xdr:colOff>295275</xdr:colOff>
                    <xdr:row>2</xdr:row>
                    <xdr:rowOff>104775</xdr:rowOff>
                  </from>
                  <to>
                    <xdr:col>8</xdr:col>
                    <xdr:colOff>276225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5" r:id="rId6" name="Option Button 3">
              <controlPr defaultSize="0" autoFill="0" autoLine="0" autoPict="0">
                <anchor moveWithCells="1">
                  <from>
                    <xdr:col>6</xdr:col>
                    <xdr:colOff>295275</xdr:colOff>
                    <xdr:row>3</xdr:row>
                    <xdr:rowOff>66675</xdr:rowOff>
                  </from>
                  <to>
                    <xdr:col>7</xdr:col>
                    <xdr:colOff>695325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6"/>
  <sheetViews>
    <sheetView showGridLines="0" workbookViewId="0"/>
  </sheetViews>
  <sheetFormatPr baseColWidth="10" defaultColWidth="9.140625" defaultRowHeight="14.25" x14ac:dyDescent="0.2"/>
  <cols>
    <col min="1" max="1" width="22.7109375" style="53" customWidth="1"/>
    <col min="2" max="2" width="9.140625" style="53" customWidth="1"/>
    <col min="3" max="18" width="12.42578125" style="53" customWidth="1"/>
    <col min="19" max="16384" width="9.140625" style="77"/>
  </cols>
  <sheetData>
    <row r="1" spans="1:18" s="75" customFormat="1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75" customFormat="1" ht="15.75" x14ac:dyDescent="0.25">
      <c r="A2" s="1"/>
      <c r="B2" s="15"/>
      <c r="C2" s="53"/>
      <c r="D2" s="5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75" customFormat="1" ht="15.75" x14ac:dyDescent="0.25">
      <c r="A3" s="1"/>
      <c r="B3" s="15"/>
      <c r="C3" s="53"/>
      <c r="D3" s="5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s="75" customFormat="1" ht="15.75" x14ac:dyDescent="0.25">
      <c r="A4" s="1"/>
      <c r="B4" s="15"/>
      <c r="C4" s="53"/>
      <c r="D4" s="5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75" customFormat="1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s="75" customFormat="1" ht="12.7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s="75" customFormat="1" ht="15.75" customHeight="1" x14ac:dyDescent="0.2">
      <c r="A7" s="146" t="str">
        <f>VLOOKUP("&lt;Fachbereich&gt;",Uebersetzungen!$B$3:$E$63,Uebersetzungen!$B$2+1,FALSE)</f>
        <v>Daten &amp; Statistik</v>
      </c>
      <c r="B7" s="146"/>
      <c r="C7" s="146"/>
      <c r="D7" s="146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</row>
    <row r="8" spans="1:18" s="75" customFormat="1" ht="12.7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s="76" customFormat="1" ht="18" x14ac:dyDescent="0.2">
      <c r="A9" s="19" t="str">
        <f>VLOOKUP("&lt;Titel&gt;",Uebersetzungen!$B$3:$E$63,Uebersetzungen!$B$2+1,FALSE)</f>
        <v>Religionszugehörigkeit nach Kanton</v>
      </c>
      <c r="B9" s="54"/>
      <c r="C9" s="55"/>
      <c r="D9" s="55"/>
      <c r="E9" s="55"/>
      <c r="F9" s="55"/>
      <c r="G9" s="55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s="76" customFormat="1" ht="12.75" x14ac:dyDescent="0.2">
      <c r="A10" s="20" t="str">
        <f>VLOOKUP("&lt;UTitel&gt;",Uebersetzungen!$B$3:$E$63,Uebersetzungen!$B$2+1,FALSE)</f>
        <v>Ständige Wohnbevölkerung ab 15 Jahren</v>
      </c>
      <c r="B10" s="54"/>
      <c r="C10" s="55"/>
      <c r="D10" s="55"/>
      <c r="E10" s="55"/>
      <c r="F10" s="55"/>
      <c r="G10" s="5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8.75" thickBot="1" x14ac:dyDescent="0.3">
      <c r="B11" s="17"/>
      <c r="C11" s="18"/>
      <c r="D11" s="4"/>
      <c r="E11" s="4"/>
      <c r="F11" s="4"/>
      <c r="G11" s="4"/>
      <c r="H11" s="4"/>
      <c r="I11" s="4"/>
      <c r="J11" s="4"/>
    </row>
    <row r="12" spans="1:18" s="78" customFormat="1" ht="18" x14ac:dyDescent="0.25">
      <c r="A12" s="3"/>
      <c r="B12" s="154">
        <v>2022</v>
      </c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6"/>
    </row>
    <row r="13" spans="1:18" s="78" customFormat="1" ht="37.5" customHeight="1" x14ac:dyDescent="0.25">
      <c r="A13" s="3"/>
      <c r="B13" s="157" t="str">
        <f>VLOOKUP("&lt;SpaltenTitel_1&gt;",Uebersetzungen!$B$3:$E$63,Uebersetzungen!$B$2+1,FALSE)</f>
        <v>Total</v>
      </c>
      <c r="C13" s="152" t="str">
        <f>VLOOKUP("&lt;SpaltenTitel_2&gt;",Uebersetzungen!$B$3:$E$63,Uebersetzungen!$B$2+1,FALSE)</f>
        <v>Evangelisch-reformiert</v>
      </c>
      <c r="D13" s="152"/>
      <c r="E13" s="152" t="str">
        <f>VLOOKUP("&lt;SpaltenTitel_3&gt;",Uebersetzungen!$B$3:$E$63,Uebersetzungen!$B$2+1,FALSE)</f>
        <v>Römisch-katholisch</v>
      </c>
      <c r="F13" s="152"/>
      <c r="G13" s="152" t="str">
        <f>VLOOKUP("&lt;SpaltenTitel_4&gt;",Uebersetzungen!$B$3:$E$63,Uebersetzungen!$B$2+1,FALSE)</f>
        <v>Andere christliche Glaubensgemeinschaften</v>
      </c>
      <c r="H13" s="152"/>
      <c r="I13" s="152" t="str">
        <f>VLOOKUP("&lt;SpaltenTitel_5&gt;",Uebersetzungen!$B$3:$E$63,Uebersetzungen!$B$2+1,FALSE)</f>
        <v>Jüdische Glaubensgemeinschaften</v>
      </c>
      <c r="J13" s="152"/>
      <c r="K13" s="152" t="str">
        <f>VLOOKUP("&lt;SpaltenTitel_6&gt;",Uebersetzungen!$B$3:$E$63,Uebersetzungen!$B$2+1,FALSE)</f>
        <v>Islamische Glaubensgem.*</v>
      </c>
      <c r="L13" s="152"/>
      <c r="M13" s="152" t="str">
        <f>VLOOKUP("&lt;SpaltenTitel_7&gt;",Uebersetzungen!$B$3:$E$63,Uebersetzungen!$B$2+1,FALSE)</f>
        <v>Andere Religionsgemeinschaften</v>
      </c>
      <c r="N13" s="152"/>
      <c r="O13" s="152" t="str">
        <f>VLOOKUP("&lt;SpaltenTitel_8&gt;",Uebersetzungen!$B$3:$E$63,Uebersetzungen!$B$2+1,FALSE)</f>
        <v>Ohne Religionszugehörigkeit</v>
      </c>
      <c r="P13" s="152"/>
      <c r="Q13" s="152" t="str">
        <f>VLOOKUP("&lt;SpaltenTitel_9&gt;",Uebersetzungen!$B$3:$E$63,Uebersetzungen!$B$2+1,FALSE)</f>
        <v>Religionszugehörigkeit unbekannt</v>
      </c>
      <c r="R13" s="153"/>
    </row>
    <row r="14" spans="1:18" s="78" customFormat="1" ht="39" thickBot="1" x14ac:dyDescent="0.3">
      <c r="A14" s="6"/>
      <c r="B14" s="151"/>
      <c r="C14" s="112" t="str">
        <f>VLOOKUP("&lt;SpaltenTitel_2.1&gt;",Uebersetzungen!$B$3:$E$63,Uebersetzungen!$B$2+1,FALSE)</f>
        <v>Anzahl Personen</v>
      </c>
      <c r="D14" s="112" t="str">
        <f>VLOOKUP("&lt;SpaltenTitel_2.2&gt;",Uebersetzungen!$B$3:$E$63,Uebersetzungen!$B$2+1,FALSE)</f>
        <v>Vertrauens- intervall:          ± (in %)</v>
      </c>
      <c r="E14" s="112" t="str">
        <f>VLOOKUP("&lt;SpaltenTitel_2.1&gt;",Uebersetzungen!$B$3:$E$63,Uebersetzungen!$B$2+1,FALSE)</f>
        <v>Anzahl Personen</v>
      </c>
      <c r="F14" s="112" t="str">
        <f>VLOOKUP("&lt;SpaltenTitel_2.2&gt;",Uebersetzungen!$B$3:$E$63,Uebersetzungen!$B$2+1,FALSE)</f>
        <v>Vertrauens- intervall:          ± (in %)</v>
      </c>
      <c r="G14" s="112" t="str">
        <f>VLOOKUP("&lt;SpaltenTitel_2.1&gt;",Uebersetzungen!$B$3:$E$63,Uebersetzungen!$B$2+1,FALSE)</f>
        <v>Anzahl Personen</v>
      </c>
      <c r="H14" s="112" t="str">
        <f>VLOOKUP("&lt;SpaltenTitel_2.2&gt;",Uebersetzungen!$B$3:$E$63,Uebersetzungen!$B$2+1,FALSE)</f>
        <v>Vertrauens- intervall:          ± (in %)</v>
      </c>
      <c r="I14" s="112" t="str">
        <f>VLOOKUP("&lt;SpaltenTitel_2.1&gt;",Uebersetzungen!$B$3:$E$63,Uebersetzungen!$B$2+1,FALSE)</f>
        <v>Anzahl Personen</v>
      </c>
      <c r="J14" s="112" t="str">
        <f>VLOOKUP("&lt;SpaltenTitel_2.2&gt;",Uebersetzungen!$B$3:$E$63,Uebersetzungen!$B$2+1,FALSE)</f>
        <v>Vertrauens- intervall:          ± (in %)</v>
      </c>
      <c r="K14" s="112" t="str">
        <f>VLOOKUP("&lt;SpaltenTitel_2.1&gt;",Uebersetzungen!$B$3:$E$63,Uebersetzungen!$B$2+1,FALSE)</f>
        <v>Anzahl Personen</v>
      </c>
      <c r="L14" s="112" t="str">
        <f>VLOOKUP("&lt;SpaltenTitel_2.2&gt;",Uebersetzungen!$B$3:$E$63,Uebersetzungen!$B$2+1,FALSE)</f>
        <v>Vertrauens- intervall:          ± (in %)</v>
      </c>
      <c r="M14" s="112" t="str">
        <f>VLOOKUP("&lt;SpaltenTitel_2.1&gt;",Uebersetzungen!$B$3:$E$63,Uebersetzungen!$B$2+1,FALSE)</f>
        <v>Anzahl Personen</v>
      </c>
      <c r="N14" s="112" t="str">
        <f>VLOOKUP("&lt;SpaltenTitel_2.2&gt;",Uebersetzungen!$B$3:$E$63,Uebersetzungen!$B$2+1,FALSE)</f>
        <v>Vertrauens- intervall:          ± (in %)</v>
      </c>
      <c r="O14" s="112" t="str">
        <f>VLOOKUP("&lt;SpaltenTitel_2.1&gt;",Uebersetzungen!$B$3:$E$63,Uebersetzungen!$B$2+1,FALSE)</f>
        <v>Anzahl Personen</v>
      </c>
      <c r="P14" s="112" t="str">
        <f>VLOOKUP("&lt;SpaltenTitel_2.2&gt;",Uebersetzungen!$B$3:$E$63,Uebersetzungen!$B$2+1,FALSE)</f>
        <v>Vertrauens- intervall:          ± (in %)</v>
      </c>
      <c r="Q14" s="112" t="str">
        <f>VLOOKUP("&lt;SpaltenTitel_2.1&gt;",Uebersetzungen!$B$3:$E$63,Uebersetzungen!$B$2+1,FALSE)</f>
        <v>Anzahl Personen</v>
      </c>
      <c r="R14" s="113" t="str">
        <f>VLOOKUP("&lt;SpaltenTitel_2.2&gt;",Uebersetzungen!$B$3:$E$63,Uebersetzungen!$B$2+1,FALSE)</f>
        <v>Vertrauens- intervall:          ± (in %)</v>
      </c>
    </row>
    <row r="15" spans="1:18" s="76" customFormat="1" ht="12.75" x14ac:dyDescent="0.2">
      <c r="A15" s="14" t="str">
        <f>VLOOKUP("&lt;Zeilentitel_1&gt;",Uebersetzungen!$B$3:$E$63,Uebersetzungen!$B$2+1,FALSE)</f>
        <v>Total</v>
      </c>
      <c r="B15" s="28">
        <v>7307819.0000000447</v>
      </c>
      <c r="C15" s="108">
        <v>1500121.9977203654</v>
      </c>
      <c r="D15" s="119">
        <v>0.71678430158877793</v>
      </c>
      <c r="E15" s="120">
        <v>2342184.7319017099</v>
      </c>
      <c r="F15" s="119">
        <v>0.51963648634028403</v>
      </c>
      <c r="G15" s="109">
        <v>408466.39915806067</v>
      </c>
      <c r="H15" s="121">
        <v>1.6036562895288344</v>
      </c>
      <c r="I15" s="109">
        <v>17884.041656689089</v>
      </c>
      <c r="J15" s="119">
        <v>7.6750084910230889</v>
      </c>
      <c r="K15" s="110">
        <v>429316.47279662162</v>
      </c>
      <c r="L15" s="119">
        <v>1.6553448601003009</v>
      </c>
      <c r="M15" s="109">
        <v>95442.136772885206</v>
      </c>
      <c r="N15" s="121">
        <v>3.4611065733987707</v>
      </c>
      <c r="O15" s="108">
        <v>2449255.4670478967</v>
      </c>
      <c r="P15" s="119">
        <v>0.53461739218875048</v>
      </c>
      <c r="Q15" s="109">
        <v>65147.752945816952</v>
      </c>
      <c r="R15" s="122">
        <v>3.9592182967491119</v>
      </c>
    </row>
    <row r="16" spans="1:18" s="76" customFormat="1" ht="12.75" x14ac:dyDescent="0.2">
      <c r="A16" s="56" t="str">
        <f>VLOOKUP("&lt;Zeilentitel_2&gt;",Uebersetzungen!$B$3:$E$63,Uebersetzungen!$B$2+1,FALSE)</f>
        <v>Genferseeregion</v>
      </c>
      <c r="B16" s="114">
        <v>1370310.0000000023</v>
      </c>
      <c r="C16" s="57">
        <v>172268.34879350918</v>
      </c>
      <c r="D16" s="58">
        <v>1.8066786401009702</v>
      </c>
      <c r="E16" s="59">
        <v>483244.52812883991</v>
      </c>
      <c r="F16" s="58">
        <v>0.99438010720662429</v>
      </c>
      <c r="G16" s="57">
        <v>72566.057688974455</v>
      </c>
      <c r="H16" s="60">
        <v>3.2024438305771068</v>
      </c>
      <c r="I16" s="57">
        <v>6617.8577740726378</v>
      </c>
      <c r="J16" s="58">
        <v>10.210775233966979</v>
      </c>
      <c r="K16" s="59">
        <v>79385.621963332</v>
      </c>
      <c r="L16" s="58">
        <v>3.2237154847057039</v>
      </c>
      <c r="M16" s="57">
        <v>16543.000841448917</v>
      </c>
      <c r="N16" s="60">
        <v>6.84437379899361</v>
      </c>
      <c r="O16" s="57">
        <v>518526.65447657224</v>
      </c>
      <c r="P16" s="58">
        <v>0.97060818490358469</v>
      </c>
      <c r="Q16" s="57">
        <v>21157.930333252971</v>
      </c>
      <c r="R16" s="61">
        <v>6.01352602720603</v>
      </c>
    </row>
    <row r="17" spans="1:18" s="76" customFormat="1" ht="12.75" x14ac:dyDescent="0.2">
      <c r="A17" s="7" t="str">
        <f>VLOOKUP("&lt;Zeilentitel_3&gt;",Uebersetzungen!$B$3:$E$63,Uebersetzungen!$B$2+1,FALSE)</f>
        <v>Waadt</v>
      </c>
      <c r="B17" s="115">
        <v>678300.00000000349</v>
      </c>
      <c r="C17" s="29">
        <v>129075.85899641992</v>
      </c>
      <c r="D17" s="30">
        <v>1.9256277938710085</v>
      </c>
      <c r="E17" s="31">
        <v>178430.2912206325</v>
      </c>
      <c r="F17" s="30">
        <v>1.6453859948858436</v>
      </c>
      <c r="G17" s="29">
        <v>42078.847345721289</v>
      </c>
      <c r="H17" s="32">
        <v>3.8936427518075694</v>
      </c>
      <c r="I17" s="29">
        <v>2152.9315911032236</v>
      </c>
      <c r="J17" s="30">
        <v>17.402969746439908</v>
      </c>
      <c r="K17" s="31">
        <v>39643.994207494485</v>
      </c>
      <c r="L17" s="30">
        <v>4.2493519075272168</v>
      </c>
      <c r="M17" s="29">
        <v>8557.2277929053871</v>
      </c>
      <c r="N17" s="32">
        <v>8.9927157615428222</v>
      </c>
      <c r="O17" s="29">
        <v>268964.05646118819</v>
      </c>
      <c r="P17" s="30">
        <v>1.2334132838487382</v>
      </c>
      <c r="Q17" s="29">
        <v>9396.7923845384721</v>
      </c>
      <c r="R17" s="33">
        <v>8.2792909792120302</v>
      </c>
    </row>
    <row r="18" spans="1:18" s="76" customFormat="1" ht="12.75" x14ac:dyDescent="0.2">
      <c r="A18" s="7" t="str">
        <f>VLOOKUP("&lt;Zeilentitel_4&gt;",Uebersetzungen!$B$3:$E$63,Uebersetzungen!$B$2+1,FALSE)</f>
        <v>Wallis</v>
      </c>
      <c r="B18" s="115">
        <v>299210.00000000151</v>
      </c>
      <c r="C18" s="29">
        <v>15281.746016917008</v>
      </c>
      <c r="D18" s="30">
        <v>8.8512305924250114</v>
      </c>
      <c r="E18" s="31">
        <v>193140.22988650462</v>
      </c>
      <c r="F18" s="30">
        <v>1.5457712822575214</v>
      </c>
      <c r="G18" s="29">
        <v>8763.487468491614</v>
      </c>
      <c r="H18" s="32">
        <v>12.474463652524312</v>
      </c>
      <c r="I18" s="34">
        <v>203.16402864772189</v>
      </c>
      <c r="J18" s="35">
        <v>78.982378377562995</v>
      </c>
      <c r="K18" s="31">
        <v>10894.245270467427</v>
      </c>
      <c r="L18" s="30">
        <v>11.394689588957418</v>
      </c>
      <c r="M18" s="36">
        <v>1859.2623350414356</v>
      </c>
      <c r="N18" s="37">
        <v>26.920816027105566</v>
      </c>
      <c r="O18" s="29">
        <v>65249.359499160622</v>
      </c>
      <c r="P18" s="30">
        <v>4.1092134005619636</v>
      </c>
      <c r="Q18" s="29">
        <v>3818.5054947710551</v>
      </c>
      <c r="R18" s="33">
        <v>18.198169084391598</v>
      </c>
    </row>
    <row r="19" spans="1:18" s="76" customFormat="1" ht="12.75" x14ac:dyDescent="0.2">
      <c r="A19" s="7" t="str">
        <f>VLOOKUP("&lt;Zeilentitel_5&gt;",Uebersetzungen!$B$3:$E$63,Uebersetzungen!$B$2+1,FALSE)</f>
        <v>Genf</v>
      </c>
      <c r="B19" s="115">
        <v>392799.99999999726</v>
      </c>
      <c r="C19" s="29">
        <v>27910.743780172248</v>
      </c>
      <c r="D19" s="30">
        <v>4.642841630580973</v>
      </c>
      <c r="E19" s="31">
        <v>111674.00702170275</v>
      </c>
      <c r="F19" s="30">
        <v>2.1111347971379972</v>
      </c>
      <c r="G19" s="29">
        <v>21723.722874761552</v>
      </c>
      <c r="H19" s="32">
        <v>5.6771784746687812</v>
      </c>
      <c r="I19" s="29">
        <v>4261.7621543216919</v>
      </c>
      <c r="J19" s="30">
        <v>12.646631582994058</v>
      </c>
      <c r="K19" s="31">
        <v>28847.382485370093</v>
      </c>
      <c r="L19" s="30">
        <v>5.107001565703098</v>
      </c>
      <c r="M19" s="29">
        <v>6126.5107135020935</v>
      </c>
      <c r="N19" s="32">
        <v>10.818787985694557</v>
      </c>
      <c r="O19" s="29">
        <v>184313.23851622338</v>
      </c>
      <c r="P19" s="30">
        <v>1.4492689718451259</v>
      </c>
      <c r="Q19" s="29">
        <v>7942.6324539434418</v>
      </c>
      <c r="R19" s="33">
        <v>9.1718707928150938</v>
      </c>
    </row>
    <row r="20" spans="1:18" s="76" customFormat="1" ht="12.75" x14ac:dyDescent="0.2">
      <c r="A20" s="56" t="str">
        <f>VLOOKUP("&lt;Zeilentitel_6&gt;",Uebersetzungen!$B$3:$E$63,Uebersetzungen!$B$2+1,FALSE)</f>
        <v>Espace Mittelland</v>
      </c>
      <c r="B20" s="114">
        <v>1598594.0000000196</v>
      </c>
      <c r="C20" s="57">
        <v>491056.46043481922</v>
      </c>
      <c r="D20" s="58">
        <v>1.2204699500455005</v>
      </c>
      <c r="E20" s="59">
        <v>406994.96690826176</v>
      </c>
      <c r="F20" s="58">
        <v>1.4075158751659274</v>
      </c>
      <c r="G20" s="57">
        <v>88411.727771935635</v>
      </c>
      <c r="H20" s="60">
        <v>3.7501346729233282</v>
      </c>
      <c r="I20" s="62">
        <v>1338.4350567733252</v>
      </c>
      <c r="J20" s="63">
        <v>31.108367046415164</v>
      </c>
      <c r="K20" s="59">
        <v>80875.270559560609</v>
      </c>
      <c r="L20" s="58">
        <v>4.1749705700794957</v>
      </c>
      <c r="M20" s="57">
        <v>20271.046268473801</v>
      </c>
      <c r="N20" s="60">
        <v>8.103258391307735</v>
      </c>
      <c r="O20" s="57">
        <v>495619.51062457426</v>
      </c>
      <c r="P20" s="58">
        <v>1.3019348026250561</v>
      </c>
      <c r="Q20" s="57">
        <v>14026.582375620832</v>
      </c>
      <c r="R20" s="61">
        <v>9.3514398856200653</v>
      </c>
    </row>
    <row r="21" spans="1:18" s="76" customFormat="1" ht="12.75" x14ac:dyDescent="0.2">
      <c r="A21" s="7" t="str">
        <f>VLOOKUP("&lt;Zeilentitel_7&gt;",Uebersetzungen!$B$3:$E$63,Uebersetzungen!$B$2+1,FALSE)</f>
        <v>Bern</v>
      </c>
      <c r="B21" s="115">
        <v>879250.00000002212</v>
      </c>
      <c r="C21" s="29">
        <v>390926.5887933374</v>
      </c>
      <c r="D21" s="30">
        <v>1.3150092438542254</v>
      </c>
      <c r="E21" s="31">
        <v>126928.15028407983</v>
      </c>
      <c r="F21" s="30">
        <v>2.9786618516555534</v>
      </c>
      <c r="G21" s="29">
        <v>56041.228124355403</v>
      </c>
      <c r="H21" s="32">
        <v>4.7547554195006088</v>
      </c>
      <c r="I21" s="34">
        <v>843.49370157589135</v>
      </c>
      <c r="J21" s="35">
        <v>39.763596571610492</v>
      </c>
      <c r="K21" s="31">
        <v>40383.434895740938</v>
      </c>
      <c r="L21" s="30">
        <v>6.0630173863050958</v>
      </c>
      <c r="M21" s="29">
        <v>12904.325864007998</v>
      </c>
      <c r="N21" s="32">
        <v>10.321854439308652</v>
      </c>
      <c r="O21" s="29">
        <v>244018.50414459192</v>
      </c>
      <c r="P21" s="30">
        <v>1.9769332626659255</v>
      </c>
      <c r="Q21" s="29">
        <v>7204.2741923326685</v>
      </c>
      <c r="R21" s="33">
        <v>13.532411996203988</v>
      </c>
    </row>
    <row r="22" spans="1:18" s="76" customFormat="1" ht="12.75" x14ac:dyDescent="0.2">
      <c r="A22" s="7" t="str">
        <f>VLOOKUP("&lt;Zeilentitel_8&gt;",Uebersetzungen!$B$3:$E$63,Uebersetzungen!$B$2+1,FALSE)</f>
        <v>Freiburg</v>
      </c>
      <c r="B22" s="115">
        <v>273359.99999999948</v>
      </c>
      <c r="C22" s="29">
        <v>30202.351142622341</v>
      </c>
      <c r="D22" s="30">
        <v>6.0403502395276183</v>
      </c>
      <c r="E22" s="31">
        <v>147104.40089152585</v>
      </c>
      <c r="F22" s="30">
        <v>2.0023395494051699</v>
      </c>
      <c r="G22" s="29">
        <v>10072.968312059362</v>
      </c>
      <c r="H22" s="32">
        <v>11.502830565577382</v>
      </c>
      <c r="I22" s="34">
        <v>164.01588683680706</v>
      </c>
      <c r="J22" s="35">
        <v>86.452143805166372</v>
      </c>
      <c r="K22" s="31">
        <v>12819.922980256029</v>
      </c>
      <c r="L22" s="30">
        <v>10.574268281113005</v>
      </c>
      <c r="M22" s="29">
        <v>1556.4397413558265</v>
      </c>
      <c r="N22" s="32">
        <v>28.501502372893402</v>
      </c>
      <c r="O22" s="29">
        <v>68989.846411876497</v>
      </c>
      <c r="P22" s="30">
        <v>3.7921714726886382</v>
      </c>
      <c r="Q22" s="29">
        <v>2450.0546334667547</v>
      </c>
      <c r="R22" s="33">
        <v>22.933090580023567</v>
      </c>
    </row>
    <row r="23" spans="1:18" s="76" customFormat="1" ht="12.75" x14ac:dyDescent="0.2">
      <c r="A23" s="7" t="str">
        <f>VLOOKUP("&lt;Zeilentitel_9&gt;",Uebersetzungen!$B$3:$E$63,Uebersetzungen!$B$2+1,FALSE)</f>
        <v>Solothurn</v>
      </c>
      <c r="B23" s="115">
        <v>237079.99999999974</v>
      </c>
      <c r="C23" s="29">
        <v>39945.662700695124</v>
      </c>
      <c r="D23" s="30">
        <v>5.2024111082443323</v>
      </c>
      <c r="E23" s="31">
        <v>68324.463194244949</v>
      </c>
      <c r="F23" s="30">
        <v>3.7389829975791513</v>
      </c>
      <c r="G23" s="29">
        <v>12801.27103362263</v>
      </c>
      <c r="H23" s="32">
        <v>10.457658854669312</v>
      </c>
      <c r="I23" s="38">
        <v>201.44441942538293</v>
      </c>
      <c r="J23" s="30">
        <v>87.62824772822799</v>
      </c>
      <c r="K23" s="31">
        <v>18358.75399189605</v>
      </c>
      <c r="L23" s="30">
        <v>8.9508513284873423</v>
      </c>
      <c r="M23" s="29">
        <v>3784.3919578836303</v>
      </c>
      <c r="N23" s="32">
        <v>19.63569939843488</v>
      </c>
      <c r="O23" s="29">
        <v>91709.861013718502</v>
      </c>
      <c r="P23" s="30">
        <v>3.0062409068301568</v>
      </c>
      <c r="Q23" s="29">
        <v>1954.1516885134643</v>
      </c>
      <c r="R23" s="33">
        <v>26.83421984245954</v>
      </c>
    </row>
    <row r="24" spans="1:18" s="76" customFormat="1" ht="12.75" x14ac:dyDescent="0.2">
      <c r="A24" s="7" t="str">
        <f>VLOOKUP("&lt;Zeilentitel_10&gt;",Uebersetzungen!$B$3:$E$63,Uebersetzungen!$B$2+1,FALSE)</f>
        <v>Neuenburg</v>
      </c>
      <c r="B24" s="115">
        <v>147269.99999999866</v>
      </c>
      <c r="C24" s="29">
        <v>24554.210585369983</v>
      </c>
      <c r="D24" s="30">
        <v>4.4781994902827877</v>
      </c>
      <c r="E24" s="31">
        <v>27237.962041135088</v>
      </c>
      <c r="F24" s="30">
        <v>4.3836968102934719</v>
      </c>
      <c r="G24" s="29">
        <v>7321.4910826430005</v>
      </c>
      <c r="H24" s="32">
        <v>9.2303393739633233</v>
      </c>
      <c r="I24" s="34">
        <v>97.458951488622517</v>
      </c>
      <c r="J24" s="35">
        <v>77.954767225011594</v>
      </c>
      <c r="K24" s="31">
        <v>7096.5356397640981</v>
      </c>
      <c r="L24" s="30">
        <v>10.069182352758599</v>
      </c>
      <c r="M24" s="29">
        <v>1544.4404346857245</v>
      </c>
      <c r="N24" s="32">
        <v>21.165449798838953</v>
      </c>
      <c r="O24" s="29">
        <v>77414.003650039027</v>
      </c>
      <c r="P24" s="30">
        <v>2.021405431531341</v>
      </c>
      <c r="Q24" s="29">
        <v>2003.8976148731435</v>
      </c>
      <c r="R24" s="33">
        <v>17.714637526116814</v>
      </c>
    </row>
    <row r="25" spans="1:18" s="76" customFormat="1" ht="12.75" x14ac:dyDescent="0.2">
      <c r="A25" s="7" t="str">
        <f>VLOOKUP("&lt;Zeilentitel_11&gt;",Uebersetzungen!$B$3:$E$63,Uebersetzungen!$B$2+1,FALSE)</f>
        <v>Jura</v>
      </c>
      <c r="B25" s="115">
        <v>61633.999999999629</v>
      </c>
      <c r="C25" s="29">
        <v>5427.6472127943889</v>
      </c>
      <c r="D25" s="30">
        <v>14.687168382996866</v>
      </c>
      <c r="E25" s="31">
        <v>37399.990497276078</v>
      </c>
      <c r="F25" s="30">
        <v>3.6794997799343077</v>
      </c>
      <c r="G25" s="29">
        <v>2174.7692192552531</v>
      </c>
      <c r="H25" s="32">
        <v>25.240879527725752</v>
      </c>
      <c r="I25" s="38" t="s">
        <v>1</v>
      </c>
      <c r="J25" s="30" t="s">
        <v>1</v>
      </c>
      <c r="K25" s="39">
        <v>2216.6230519034884</v>
      </c>
      <c r="L25" s="35">
        <v>26.968097759482752</v>
      </c>
      <c r="M25" s="34">
        <v>481.44827054061903</v>
      </c>
      <c r="N25" s="37">
        <v>54.251767890733952</v>
      </c>
      <c r="O25" s="29">
        <v>13487.295404348377</v>
      </c>
      <c r="P25" s="30">
        <v>8.9904971566231211</v>
      </c>
      <c r="Q25" s="34">
        <v>414.20424643480163</v>
      </c>
      <c r="R25" s="40">
        <v>55.779474061603395</v>
      </c>
    </row>
    <row r="26" spans="1:18" s="76" customFormat="1" ht="12.75" x14ac:dyDescent="0.2">
      <c r="A26" s="56" t="str">
        <f>VLOOKUP("&lt;Zeilentitel_12&gt;",Uebersetzungen!$B$3:$E$63,Uebersetzungen!$B$2+1,FALSE)</f>
        <v>Nordwestschweiz</v>
      </c>
      <c r="B26" s="116">
        <v>1005303.0000000163</v>
      </c>
      <c r="C26" s="57">
        <v>200905.16633654668</v>
      </c>
      <c r="D26" s="58">
        <v>1.8671680423962735</v>
      </c>
      <c r="E26" s="59">
        <v>243214.12004255658</v>
      </c>
      <c r="F26" s="58">
        <v>1.6413990266296883</v>
      </c>
      <c r="G26" s="57">
        <v>59801.148898131316</v>
      </c>
      <c r="H26" s="60">
        <v>3.847654180204187</v>
      </c>
      <c r="I26" s="57">
        <v>1867.3388168355641</v>
      </c>
      <c r="J26" s="58">
        <v>24.849907238736307</v>
      </c>
      <c r="K26" s="59">
        <v>74581.736323469464</v>
      </c>
      <c r="L26" s="58">
        <v>3.6966103486426669</v>
      </c>
      <c r="M26" s="57">
        <v>15073.373018759234</v>
      </c>
      <c r="N26" s="60">
        <v>8.3555779142613389</v>
      </c>
      <c r="O26" s="57">
        <v>402892.3811456766</v>
      </c>
      <c r="P26" s="58">
        <v>1.1811881451758925</v>
      </c>
      <c r="Q26" s="57">
        <v>6967.7354180407901</v>
      </c>
      <c r="R26" s="61">
        <v>12.124055500928444</v>
      </c>
    </row>
    <row r="27" spans="1:18" s="76" customFormat="1" ht="12.75" x14ac:dyDescent="0.2">
      <c r="A27" s="7" t="str">
        <f>VLOOKUP("&lt;Zeilentitel_13&gt;",Uebersetzungen!$B$3:$E$63,Uebersetzungen!$B$2+1,FALSE)</f>
        <v>Basel-Stadt</v>
      </c>
      <c r="B27" s="115">
        <v>165064.00000000346</v>
      </c>
      <c r="C27" s="29">
        <v>21788.038557124259</v>
      </c>
      <c r="D27" s="30">
        <v>7.298503905123976</v>
      </c>
      <c r="E27" s="31">
        <v>22636.383256344267</v>
      </c>
      <c r="F27" s="30">
        <v>7.2505803976256971</v>
      </c>
      <c r="G27" s="29">
        <v>8715.907491615144</v>
      </c>
      <c r="H27" s="32">
        <v>12.77102650277083</v>
      </c>
      <c r="I27" s="34">
        <v>886.7667168506249</v>
      </c>
      <c r="J27" s="35">
        <v>39.882663255171657</v>
      </c>
      <c r="K27" s="31">
        <v>13216.420574357708</v>
      </c>
      <c r="L27" s="30">
        <v>10.770558189914716</v>
      </c>
      <c r="M27" s="29">
        <v>3339.3027543854978</v>
      </c>
      <c r="N27" s="32">
        <v>21.39017450723416</v>
      </c>
      <c r="O27" s="29">
        <v>92628.762408885756</v>
      </c>
      <c r="P27" s="30">
        <v>2.6157473162644114</v>
      </c>
      <c r="Q27" s="29">
        <v>1852.4182404402131</v>
      </c>
      <c r="R27" s="33">
        <v>27.512742008391601</v>
      </c>
    </row>
    <row r="28" spans="1:18" s="76" customFormat="1" ht="12.75" x14ac:dyDescent="0.2">
      <c r="A28" s="7" t="str">
        <f>VLOOKUP("&lt;Zeilentitel_14&gt;",Uebersetzungen!$B$3:$E$63,Uebersetzungen!$B$2+1,FALSE)</f>
        <v>Basel-Landschaft</v>
      </c>
      <c r="B28" s="115">
        <v>247484.9999999959</v>
      </c>
      <c r="C28" s="29">
        <v>62752.726078234795</v>
      </c>
      <c r="D28" s="30">
        <v>3.8209207141331403</v>
      </c>
      <c r="E28" s="31">
        <v>55455.940576073132</v>
      </c>
      <c r="F28" s="30">
        <v>4.2387856726800166</v>
      </c>
      <c r="G28" s="29">
        <v>12170.615885257128</v>
      </c>
      <c r="H28" s="32">
        <v>10.224230884287532</v>
      </c>
      <c r="I28" s="34">
        <v>383.30557213846805</v>
      </c>
      <c r="J28" s="35">
        <v>55.992955784519268</v>
      </c>
      <c r="K28" s="31">
        <v>14476.435570744976</v>
      </c>
      <c r="L28" s="30">
        <v>10.071071330519416</v>
      </c>
      <c r="M28" s="29">
        <v>4322.1659430744367</v>
      </c>
      <c r="N28" s="32">
        <v>17.53149643864888</v>
      </c>
      <c r="O28" s="29">
        <v>96034.848699458729</v>
      </c>
      <c r="P28" s="30">
        <v>2.9045338254792235</v>
      </c>
      <c r="Q28" s="29">
        <v>1888.9616750142368</v>
      </c>
      <c r="R28" s="33">
        <v>26.27239841796457</v>
      </c>
    </row>
    <row r="29" spans="1:18" s="76" customFormat="1" ht="12.75" x14ac:dyDescent="0.2">
      <c r="A29" s="7" t="str">
        <f>VLOOKUP("&lt;Zeilentitel_15&gt;",Uebersetzungen!$B$3:$E$63,Uebersetzungen!$B$2+1,FALSE)</f>
        <v>Aargau</v>
      </c>
      <c r="B29" s="115">
        <v>592754.00000001688</v>
      </c>
      <c r="C29" s="29">
        <v>116364.40170118764</v>
      </c>
      <c r="D29" s="30">
        <v>2.0685508351515014</v>
      </c>
      <c r="E29" s="31">
        <v>165121.7962101392</v>
      </c>
      <c r="F29" s="30">
        <v>1.6824306867674814</v>
      </c>
      <c r="G29" s="29">
        <v>38914.625521259048</v>
      </c>
      <c r="H29" s="32">
        <v>4.0687030668493387</v>
      </c>
      <c r="I29" s="34">
        <v>597.26652784647115</v>
      </c>
      <c r="J29" s="35">
        <v>35.193007614954958</v>
      </c>
      <c r="K29" s="31">
        <v>46888.88017836678</v>
      </c>
      <c r="L29" s="30">
        <v>3.9608355483174083</v>
      </c>
      <c r="M29" s="29">
        <v>7411.9043212992974</v>
      </c>
      <c r="N29" s="32">
        <v>9.5581444953604713</v>
      </c>
      <c r="O29" s="29">
        <v>214228.77003733214</v>
      </c>
      <c r="P29" s="30">
        <v>1.4000706528131401</v>
      </c>
      <c r="Q29" s="29">
        <v>3226.3555025863393</v>
      </c>
      <c r="R29" s="33">
        <v>14.122385393669838</v>
      </c>
    </row>
    <row r="30" spans="1:18" s="76" customFormat="1" ht="12.75" x14ac:dyDescent="0.2">
      <c r="A30" s="7" t="str">
        <f>VLOOKUP("&lt;Zeilentitel_16&gt;",Uebersetzungen!$B$3:$E$63,Uebersetzungen!$B$2+1,FALSE)</f>
        <v>Zürich</v>
      </c>
      <c r="B30" s="117">
        <v>1312405.0000000065</v>
      </c>
      <c r="C30" s="29">
        <v>316603.39560026082</v>
      </c>
      <c r="D30" s="30">
        <v>1.7344878075229704</v>
      </c>
      <c r="E30" s="31">
        <v>295499.85396308283</v>
      </c>
      <c r="F30" s="30">
        <v>1.8723157373915764</v>
      </c>
      <c r="G30" s="29">
        <v>81776.006786921731</v>
      </c>
      <c r="H30" s="32">
        <v>4.0069984797863194</v>
      </c>
      <c r="I30" s="29">
        <v>6147.3203891271969</v>
      </c>
      <c r="J30" s="30">
        <v>14.857597064344141</v>
      </c>
      <c r="K30" s="31">
        <v>89802.330390126808</v>
      </c>
      <c r="L30" s="30">
        <v>4.0305589993510731</v>
      </c>
      <c r="M30" s="29">
        <v>21820.249881805197</v>
      </c>
      <c r="N30" s="32">
        <v>8.0731785197458183</v>
      </c>
      <c r="O30" s="29">
        <v>491302.48674784182</v>
      </c>
      <c r="P30" s="30">
        <v>1.3201815727674475</v>
      </c>
      <c r="Q30" s="29">
        <v>9453.3562408403177</v>
      </c>
      <c r="R30" s="33">
        <v>12.119485047360202</v>
      </c>
    </row>
    <row r="31" spans="1:18" s="76" customFormat="1" ht="12.75" x14ac:dyDescent="0.2">
      <c r="A31" s="56" t="str">
        <f>VLOOKUP("&lt;Zeilentitel_17&gt;",Uebersetzungen!$B$3:$E$63,Uebersetzungen!$B$2+1,FALSE)</f>
        <v>Ostschweiz</v>
      </c>
      <c r="B31" s="114">
        <v>1016949.9999999937</v>
      </c>
      <c r="C31" s="57">
        <v>243530.79315631196</v>
      </c>
      <c r="D31" s="58">
        <v>1.8521651729269182</v>
      </c>
      <c r="E31" s="59">
        <v>354622.54109819967</v>
      </c>
      <c r="F31" s="58">
        <v>1.4611075875363697</v>
      </c>
      <c r="G31" s="57">
        <v>58375.416583252016</v>
      </c>
      <c r="H31" s="60">
        <v>4.4476650864369836</v>
      </c>
      <c r="I31" s="64">
        <v>915.72854180740092</v>
      </c>
      <c r="J31" s="63">
        <v>38.403610127496002</v>
      </c>
      <c r="K31" s="59">
        <v>66644.823783513857</v>
      </c>
      <c r="L31" s="58">
        <v>4.3439902393588126</v>
      </c>
      <c r="M31" s="57">
        <v>11135.839296715912</v>
      </c>
      <c r="N31" s="60">
        <v>10.605965093363572</v>
      </c>
      <c r="O31" s="57">
        <v>275974.32381108357</v>
      </c>
      <c r="P31" s="58">
        <v>1.7823398536857156</v>
      </c>
      <c r="Q31" s="57">
        <v>5750.533729109392</v>
      </c>
      <c r="R31" s="61">
        <v>14.586717281412493</v>
      </c>
    </row>
    <row r="32" spans="1:18" s="76" customFormat="1" ht="12.75" x14ac:dyDescent="0.2">
      <c r="A32" s="7" t="str">
        <f>VLOOKUP("&lt;Zeilentitel_18&gt;",Uebersetzungen!$B$3:$E$63,Uebersetzungen!$B$2+1,FALSE)</f>
        <v>Glarus</v>
      </c>
      <c r="B32" s="115">
        <v>34613.000000000175</v>
      </c>
      <c r="C32" s="29">
        <v>10911.936701905937</v>
      </c>
      <c r="D32" s="30">
        <v>9.5770889471561595</v>
      </c>
      <c r="E32" s="31">
        <v>10448.697613296295</v>
      </c>
      <c r="F32" s="30">
        <v>9.8279469455107176</v>
      </c>
      <c r="G32" s="36">
        <v>1782.0492629502667</v>
      </c>
      <c r="H32" s="37">
        <v>28.085137207801896</v>
      </c>
      <c r="I32" s="38" t="s">
        <v>1</v>
      </c>
      <c r="J32" s="30" t="s">
        <v>1</v>
      </c>
      <c r="K32" s="31">
        <v>2284.7880639865875</v>
      </c>
      <c r="L32" s="30">
        <v>27.671158531711047</v>
      </c>
      <c r="M32" s="34">
        <v>745.53641000787695</v>
      </c>
      <c r="N32" s="37">
        <v>43.474090594222183</v>
      </c>
      <c r="O32" s="29">
        <v>8270.7916320366276</v>
      </c>
      <c r="P32" s="30">
        <v>11.828518995917625</v>
      </c>
      <c r="Q32" s="38" t="s">
        <v>1</v>
      </c>
      <c r="R32" s="33" t="s">
        <v>1</v>
      </c>
    </row>
    <row r="33" spans="1:18" s="76" customFormat="1" ht="12.75" x14ac:dyDescent="0.2">
      <c r="A33" s="7" t="str">
        <f>VLOOKUP("&lt;Zeilentitel_19&gt;",Uebersetzungen!$B$3:$E$63,Uebersetzungen!$B$2+1,FALSE)</f>
        <v>Schaffhausen</v>
      </c>
      <c r="B33" s="115">
        <v>71534.999999999636</v>
      </c>
      <c r="C33" s="29">
        <v>22396.122081553644</v>
      </c>
      <c r="D33" s="30">
        <v>6.2713745835662813</v>
      </c>
      <c r="E33" s="31">
        <v>13878.89152203262</v>
      </c>
      <c r="F33" s="30">
        <v>8.8319829867558504</v>
      </c>
      <c r="G33" s="29">
        <v>5167.5694220973919</v>
      </c>
      <c r="H33" s="32">
        <v>15.914916987394689</v>
      </c>
      <c r="I33" s="38" t="s">
        <v>1</v>
      </c>
      <c r="J33" s="30" t="s">
        <v>1</v>
      </c>
      <c r="K33" s="31">
        <v>5344.0858417260761</v>
      </c>
      <c r="L33" s="30">
        <v>16.542404701120272</v>
      </c>
      <c r="M33" s="36">
        <v>1278.1739704643508</v>
      </c>
      <c r="N33" s="37">
        <v>33.737214551172343</v>
      </c>
      <c r="O33" s="29">
        <v>22964.293862577713</v>
      </c>
      <c r="P33" s="30">
        <v>6.3974175433149041</v>
      </c>
      <c r="Q33" s="34">
        <v>383.58802760295248</v>
      </c>
      <c r="R33" s="40">
        <v>58.593107486996715</v>
      </c>
    </row>
    <row r="34" spans="1:18" s="76" customFormat="1" ht="12.75" x14ac:dyDescent="0.2">
      <c r="A34" s="7" t="str">
        <f>VLOOKUP("&lt;Zeilentitel_20&gt;",Uebersetzungen!$B$3:$E$63,Uebersetzungen!$B$2+1,FALSE)</f>
        <v>Appenzell Ausserrhoden</v>
      </c>
      <c r="B34" s="115">
        <v>46087.99999999936</v>
      </c>
      <c r="C34" s="29">
        <v>14451.872966784396</v>
      </c>
      <c r="D34" s="30">
        <v>7.9330064523416342</v>
      </c>
      <c r="E34" s="31">
        <v>13557.514149611607</v>
      </c>
      <c r="F34" s="30">
        <v>8.5037289135870626</v>
      </c>
      <c r="G34" s="29">
        <v>2999.9377670403687</v>
      </c>
      <c r="H34" s="32">
        <v>20.972811484799646</v>
      </c>
      <c r="I34" s="38" t="s">
        <v>1</v>
      </c>
      <c r="J34" s="30" t="s">
        <v>1</v>
      </c>
      <c r="K34" s="39">
        <v>1166.2403966846716</v>
      </c>
      <c r="L34" s="35">
        <v>35.525392274195575</v>
      </c>
      <c r="M34" s="34">
        <v>394.07957519708759</v>
      </c>
      <c r="N34" s="37">
        <v>61.350658679824754</v>
      </c>
      <c r="O34" s="29">
        <v>13159.393568137479</v>
      </c>
      <c r="P34" s="30">
        <v>8.6613473596020025</v>
      </c>
      <c r="Q34" s="34">
        <v>257.09604937207189</v>
      </c>
      <c r="R34" s="40">
        <v>73.249082247911403</v>
      </c>
    </row>
    <row r="35" spans="1:18" s="76" customFormat="1" ht="12.75" x14ac:dyDescent="0.2">
      <c r="A35" s="7" t="str">
        <f>VLOOKUP("&lt;Zeilentitel_21&gt;",Uebersetzungen!$B$3:$E$63,Uebersetzungen!$B$2+1,FALSE)</f>
        <v>Appenzell Innerrhoden</v>
      </c>
      <c r="B35" s="115">
        <v>13537.999999999996</v>
      </c>
      <c r="C35" s="29">
        <v>1419.8578615665065</v>
      </c>
      <c r="D35" s="30">
        <v>29.452529871815003</v>
      </c>
      <c r="E35" s="31">
        <v>9397.0622133992183</v>
      </c>
      <c r="F35" s="30">
        <v>6.6385735002462303</v>
      </c>
      <c r="G35" s="34">
        <v>256.08422613437568</v>
      </c>
      <c r="H35" s="37">
        <v>80.193463998503375</v>
      </c>
      <c r="I35" s="38" t="s">
        <v>1</v>
      </c>
      <c r="J35" s="30" t="s">
        <v>1</v>
      </c>
      <c r="K35" s="41">
        <v>336.40991336332905</v>
      </c>
      <c r="L35" s="35">
        <v>73.556208510693423</v>
      </c>
      <c r="M35" s="34" t="s">
        <v>1</v>
      </c>
      <c r="N35" s="37" t="s">
        <v>1</v>
      </c>
      <c r="O35" s="36">
        <v>1983.9258136478707</v>
      </c>
      <c r="P35" s="35">
        <v>25.482386491933109</v>
      </c>
      <c r="Q35" s="38" t="s">
        <v>1</v>
      </c>
      <c r="R35" s="33" t="s">
        <v>1</v>
      </c>
    </row>
    <row r="36" spans="1:18" s="76" customFormat="1" ht="12.75" x14ac:dyDescent="0.2">
      <c r="A36" s="7" t="str">
        <f>VLOOKUP("&lt;Zeilentitel_22&gt;",Uebersetzungen!$B$3:$E$63,Uebersetzungen!$B$2+1,FALSE)</f>
        <v>St. Gallen</v>
      </c>
      <c r="B36" s="115">
        <v>436947.99999999459</v>
      </c>
      <c r="C36" s="29">
        <v>77578.049803201997</v>
      </c>
      <c r="D36" s="30">
        <v>3.7002411136357933</v>
      </c>
      <c r="E36" s="31">
        <v>172879.11664831566</v>
      </c>
      <c r="F36" s="30">
        <v>2.1539258478666348</v>
      </c>
      <c r="G36" s="29">
        <v>27641.717117133041</v>
      </c>
      <c r="H36" s="32">
        <v>6.9246876951168428</v>
      </c>
      <c r="I36" s="34">
        <v>383.00751549508556</v>
      </c>
      <c r="J36" s="35">
        <v>61.359986871560572</v>
      </c>
      <c r="K36" s="31">
        <v>37017.83601383138</v>
      </c>
      <c r="L36" s="30">
        <v>6.1749309505852699</v>
      </c>
      <c r="M36" s="29">
        <v>5201.3806017348725</v>
      </c>
      <c r="N36" s="32">
        <v>16.244861967223105</v>
      </c>
      <c r="O36" s="29">
        <v>113375.11389676486</v>
      </c>
      <c r="P36" s="30">
        <v>3.006518383233741</v>
      </c>
      <c r="Q36" s="29">
        <v>2871.7784035177406</v>
      </c>
      <c r="R36" s="33">
        <v>21.711497439127193</v>
      </c>
    </row>
    <row r="37" spans="1:18" s="76" customFormat="1" ht="12.75" x14ac:dyDescent="0.2">
      <c r="A37" s="65" t="str">
        <f>VLOOKUP("&lt;Zeilentitel_23&gt;",Uebersetzungen!$B$3:$E$63,Uebersetzungen!$B$2+1,FALSE)</f>
        <v>Graubünden</v>
      </c>
      <c r="B37" s="118">
        <v>172987.00000000125</v>
      </c>
      <c r="C37" s="66">
        <v>49298.529031014732</v>
      </c>
      <c r="D37" s="67">
        <v>4.3151191899031023</v>
      </c>
      <c r="E37" s="68">
        <v>67261.599632644851</v>
      </c>
      <c r="F37" s="67">
        <v>3.4867971564579041</v>
      </c>
      <c r="G37" s="66">
        <v>5540.0616399212522</v>
      </c>
      <c r="H37" s="69">
        <v>15.798256938903696</v>
      </c>
      <c r="I37" s="70" t="s">
        <v>1</v>
      </c>
      <c r="J37" s="67" t="s">
        <v>1</v>
      </c>
      <c r="K37" s="68">
        <v>3849.2006142108321</v>
      </c>
      <c r="L37" s="67">
        <v>19.599701478859508</v>
      </c>
      <c r="M37" s="71">
        <v>1174.4035319014799</v>
      </c>
      <c r="N37" s="72">
        <v>34.871377521023923</v>
      </c>
      <c r="O37" s="66">
        <v>44849.814860215469</v>
      </c>
      <c r="P37" s="67">
        <v>4.7399140220872447</v>
      </c>
      <c r="Q37" s="73">
        <v>945.72383215870548</v>
      </c>
      <c r="R37" s="74">
        <v>37.151582378383239</v>
      </c>
    </row>
    <row r="38" spans="1:18" s="76" customFormat="1" ht="12.75" x14ac:dyDescent="0.2">
      <c r="A38" s="7" t="str">
        <f>VLOOKUP("&lt;Zeilentitel_24&gt;",Uebersetzungen!$B$3:$E$63,Uebersetzungen!$B$2+1,FALSE)</f>
        <v>Thurgau</v>
      </c>
      <c r="B38" s="115">
        <v>241240.99999999869</v>
      </c>
      <c r="C38" s="29">
        <v>67474.424710284744</v>
      </c>
      <c r="D38" s="30">
        <v>2.5779657072306446</v>
      </c>
      <c r="E38" s="31">
        <v>67199.659318899416</v>
      </c>
      <c r="F38" s="30">
        <v>2.664299551927034</v>
      </c>
      <c r="G38" s="29">
        <v>14987.997147975322</v>
      </c>
      <c r="H38" s="32">
        <v>6.4903500428624232</v>
      </c>
      <c r="I38" s="34">
        <v>197.85193104624426</v>
      </c>
      <c r="J38" s="35">
        <v>57.830341827817463</v>
      </c>
      <c r="K38" s="31">
        <v>16646.262939710989</v>
      </c>
      <c r="L38" s="30">
        <v>6.5062506606630635</v>
      </c>
      <c r="M38" s="29">
        <v>2309.5992012809174</v>
      </c>
      <c r="N38" s="32">
        <v>17.308305676354497</v>
      </c>
      <c r="O38" s="29">
        <v>71370.99017770357</v>
      </c>
      <c r="P38" s="30">
        <v>2.5783989735195325</v>
      </c>
      <c r="Q38" s="29">
        <v>1054.2145730975108</v>
      </c>
      <c r="R38" s="33">
        <v>25.003546035962557</v>
      </c>
    </row>
    <row r="39" spans="1:18" s="76" customFormat="1" ht="12.75" x14ac:dyDescent="0.2">
      <c r="A39" s="56" t="str">
        <f>VLOOKUP("&lt;Zeilentitel_25&gt;",Uebersetzungen!$B$3:$E$63,Uebersetzungen!$B$2+1,FALSE)</f>
        <v>Zentralschweiz</v>
      </c>
      <c r="B39" s="116">
        <v>701094.00000000291</v>
      </c>
      <c r="C39" s="57">
        <v>64828.019110912406</v>
      </c>
      <c r="D39" s="58">
        <v>3.3734123693931557</v>
      </c>
      <c r="E39" s="59">
        <v>378903.4288380603</v>
      </c>
      <c r="F39" s="58">
        <v>0.99501415325332154</v>
      </c>
      <c r="G39" s="57">
        <v>31273.518244450708</v>
      </c>
      <c r="H39" s="60">
        <v>5.231286288317941</v>
      </c>
      <c r="I39" s="64">
        <v>823.47850911756359</v>
      </c>
      <c r="J39" s="63">
        <v>32.070535127923421</v>
      </c>
      <c r="K39" s="59">
        <v>31304.783146373484</v>
      </c>
      <c r="L39" s="58">
        <v>5.5182234293352197</v>
      </c>
      <c r="M39" s="57">
        <v>8457.2442396543483</v>
      </c>
      <c r="N39" s="60">
        <v>9.931609390518247</v>
      </c>
      <c r="O39" s="57">
        <v>181415.41010997488</v>
      </c>
      <c r="P39" s="58">
        <v>1.871416927674153</v>
      </c>
      <c r="Q39" s="57">
        <v>4088.1178014592447</v>
      </c>
      <c r="R39" s="61">
        <v>14.524582217927184</v>
      </c>
    </row>
    <row r="40" spans="1:18" s="76" customFormat="1" ht="12.75" x14ac:dyDescent="0.2">
      <c r="A40" s="7" t="str">
        <f>VLOOKUP("&lt;Zeilentitel_26&gt;",Uebersetzungen!$B$3:$E$63,Uebersetzungen!$B$2+1,FALSE)</f>
        <v>Luzern</v>
      </c>
      <c r="B40" s="115">
        <v>352202.99999999924</v>
      </c>
      <c r="C40" s="29">
        <v>30885.75118880572</v>
      </c>
      <c r="D40" s="30">
        <v>4.2280641097445715</v>
      </c>
      <c r="E40" s="31">
        <v>190056.59507582654</v>
      </c>
      <c r="F40" s="30">
        <v>1.2182574518421128</v>
      </c>
      <c r="G40" s="29">
        <v>15998.896592764488</v>
      </c>
      <c r="H40" s="32">
        <v>6.3313403927599685</v>
      </c>
      <c r="I40" s="34">
        <v>402.45748444926289</v>
      </c>
      <c r="J40" s="35">
        <v>40.967378378221674</v>
      </c>
      <c r="K40" s="31">
        <v>17636.134849715952</v>
      </c>
      <c r="L40" s="30">
        <v>6.2871697961881043</v>
      </c>
      <c r="M40" s="29">
        <v>4561.6044989676648</v>
      </c>
      <c r="N40" s="32">
        <v>12.165389066038481</v>
      </c>
      <c r="O40" s="29">
        <v>90571.573477084195</v>
      </c>
      <c r="P40" s="30">
        <v>2.2975194620487387</v>
      </c>
      <c r="Q40" s="29">
        <v>2089.9868323855017</v>
      </c>
      <c r="R40" s="33">
        <v>17.277213891398862</v>
      </c>
    </row>
    <row r="41" spans="1:18" s="76" customFormat="1" ht="12.75" x14ac:dyDescent="0.2">
      <c r="A41" s="7" t="str">
        <f>VLOOKUP("&lt;Zeilentitel_27&gt;",Uebersetzungen!$B$3:$E$63,Uebersetzungen!$B$2+1,FALSE)</f>
        <v>Uri</v>
      </c>
      <c r="B41" s="115">
        <v>31074.999999999858</v>
      </c>
      <c r="C41" s="34">
        <v>1211.4981246633718</v>
      </c>
      <c r="D41" s="35">
        <v>30.808831607048969</v>
      </c>
      <c r="E41" s="31">
        <v>22108.605590530464</v>
      </c>
      <c r="F41" s="30">
        <v>3.9249834526133545</v>
      </c>
      <c r="G41" s="34">
        <v>1063.4710717601179</v>
      </c>
      <c r="H41" s="37">
        <v>36.047620804051562</v>
      </c>
      <c r="I41" s="29" t="s">
        <v>1</v>
      </c>
      <c r="J41" s="30" t="s">
        <v>1</v>
      </c>
      <c r="K41" s="41">
        <v>570.3297686694309</v>
      </c>
      <c r="L41" s="35">
        <v>48.172340462651789</v>
      </c>
      <c r="M41" s="34" t="s">
        <v>1</v>
      </c>
      <c r="N41" s="37" t="s">
        <v>1</v>
      </c>
      <c r="O41" s="29">
        <v>5811.4699950358063</v>
      </c>
      <c r="P41" s="30">
        <v>13.354716752489637</v>
      </c>
      <c r="Q41" s="38">
        <v>204.05798655698516</v>
      </c>
      <c r="R41" s="33">
        <v>79.239254672393216</v>
      </c>
    </row>
    <row r="42" spans="1:18" s="76" customFormat="1" ht="12.75" x14ac:dyDescent="0.2">
      <c r="A42" s="7" t="str">
        <f>VLOOKUP("&lt;Zeilentitel_28&gt;",Uebersetzungen!$B$3:$E$63,Uebersetzungen!$B$2+1,FALSE)</f>
        <v>Schwyz</v>
      </c>
      <c r="B42" s="115">
        <v>138672.0000000014</v>
      </c>
      <c r="C42" s="29">
        <v>14150.736345307776</v>
      </c>
      <c r="D42" s="30">
        <v>8.8126225841104002</v>
      </c>
      <c r="E42" s="31">
        <v>74688.994022536004</v>
      </c>
      <c r="F42" s="30">
        <v>2.7742699994469784</v>
      </c>
      <c r="G42" s="29">
        <v>6198.9943408448762</v>
      </c>
      <c r="H42" s="32">
        <v>14.941361571161794</v>
      </c>
      <c r="I42" s="34" t="s">
        <v>1</v>
      </c>
      <c r="J42" s="35" t="s">
        <v>1</v>
      </c>
      <c r="K42" s="31">
        <v>6424.8972448617451</v>
      </c>
      <c r="L42" s="30">
        <v>15.991012056238644</v>
      </c>
      <c r="M42" s="36">
        <v>1465.8583355790486</v>
      </c>
      <c r="N42" s="37">
        <v>29.006254152574964</v>
      </c>
      <c r="O42" s="29">
        <v>34852.403087087441</v>
      </c>
      <c r="P42" s="30">
        <v>5.2684712407068668</v>
      </c>
      <c r="Q42" s="34">
        <v>732.30200806477137</v>
      </c>
      <c r="R42" s="40">
        <v>41.231990921698262</v>
      </c>
    </row>
    <row r="43" spans="1:18" s="76" customFormat="1" ht="12.75" x14ac:dyDescent="0.2">
      <c r="A43" s="7" t="str">
        <f>VLOOKUP("&lt;Zeilentitel_29&gt;",Uebersetzungen!$B$3:$E$63,Uebersetzungen!$B$2+1,FALSE)</f>
        <v>Obwalden</v>
      </c>
      <c r="B43" s="115">
        <v>32326.999999999902</v>
      </c>
      <c r="C43" s="29">
        <v>2273.8908739348153</v>
      </c>
      <c r="D43" s="30">
        <v>22.346172587606084</v>
      </c>
      <c r="E43" s="31">
        <v>20777.723429786547</v>
      </c>
      <c r="F43" s="30">
        <v>4.6507794636083197</v>
      </c>
      <c r="G43" s="34">
        <v>823.53526058820637</v>
      </c>
      <c r="H43" s="37">
        <v>39.408661796222361</v>
      </c>
      <c r="I43" s="38" t="s">
        <v>1</v>
      </c>
      <c r="J43" s="30" t="s">
        <v>1</v>
      </c>
      <c r="K43" s="39">
        <v>908.38005009344397</v>
      </c>
      <c r="L43" s="35">
        <v>39.543831879355963</v>
      </c>
      <c r="M43" s="34" t="s">
        <v>1</v>
      </c>
      <c r="N43" s="37" t="s">
        <v>1</v>
      </c>
      <c r="O43" s="29">
        <v>7157.4564067460105</v>
      </c>
      <c r="P43" s="30">
        <v>11.774700418323375</v>
      </c>
      <c r="Q43" s="34">
        <v>242.08806017903754</v>
      </c>
      <c r="R43" s="40">
        <v>73.225272097452134</v>
      </c>
    </row>
    <row r="44" spans="1:18" s="76" customFormat="1" ht="12.75" x14ac:dyDescent="0.2">
      <c r="A44" s="7" t="str">
        <f>VLOOKUP("&lt;Zeilentitel_30&gt;",Uebersetzungen!$B$3:$E$63,Uebersetzungen!$B$2+1,FALSE)</f>
        <v>Nidwalden</v>
      </c>
      <c r="B44" s="115">
        <v>37829.000000000182</v>
      </c>
      <c r="C44" s="29">
        <v>3876.0871039783033</v>
      </c>
      <c r="D44" s="30">
        <v>17.572217786787633</v>
      </c>
      <c r="E44" s="31">
        <v>22219.963341015424</v>
      </c>
      <c r="F44" s="30">
        <v>4.99980663703057</v>
      </c>
      <c r="G44" s="34">
        <v>1085.8124816754471</v>
      </c>
      <c r="H44" s="37">
        <v>35.578010320516562</v>
      </c>
      <c r="I44" s="38" t="s">
        <v>1</v>
      </c>
      <c r="J44" s="30" t="s">
        <v>1</v>
      </c>
      <c r="K44" s="41">
        <v>953.38627763741283</v>
      </c>
      <c r="L44" s="35">
        <v>40.512365077824946</v>
      </c>
      <c r="M44" s="38">
        <v>466.97748226916406</v>
      </c>
      <c r="N44" s="32">
        <v>55.814527985962393</v>
      </c>
      <c r="O44" s="29">
        <v>8989.7173365640792</v>
      </c>
      <c r="P44" s="30">
        <v>10.995600280105153</v>
      </c>
      <c r="Q44" s="34">
        <v>237.05597686034992</v>
      </c>
      <c r="R44" s="40">
        <v>79.50460592201307</v>
      </c>
    </row>
    <row r="45" spans="1:18" s="76" customFormat="1" ht="12.75" x14ac:dyDescent="0.2">
      <c r="A45" s="7" t="str">
        <f>VLOOKUP("&lt;Zeilentitel_31&gt;",Uebersetzungen!$B$3:$E$63,Uebersetzungen!$B$2+1,FALSE)</f>
        <v>Zug</v>
      </c>
      <c r="B45" s="115">
        <v>108988.0000000023</v>
      </c>
      <c r="C45" s="29">
        <v>12430.055474222419</v>
      </c>
      <c r="D45" s="30">
        <v>6.5395024116438751</v>
      </c>
      <c r="E45" s="31">
        <v>49051.547378365358</v>
      </c>
      <c r="F45" s="30">
        <v>2.609573411789158</v>
      </c>
      <c r="G45" s="29">
        <v>6102.8084968175699</v>
      </c>
      <c r="H45" s="32">
        <v>10.246936764572737</v>
      </c>
      <c r="I45" s="34">
        <v>263.20640894856285</v>
      </c>
      <c r="J45" s="35">
        <v>51.159257202733976</v>
      </c>
      <c r="K45" s="31">
        <v>4811.6549553954992</v>
      </c>
      <c r="L45" s="30">
        <v>12.214599306056504</v>
      </c>
      <c r="M45" s="29">
        <v>1713.3105413829503</v>
      </c>
      <c r="N45" s="32">
        <v>19.850378271006459</v>
      </c>
      <c r="O45" s="29">
        <v>34032.789807457339</v>
      </c>
      <c r="P45" s="30">
        <v>3.6403168463869298</v>
      </c>
      <c r="Q45" s="34">
        <v>582.62693741259898</v>
      </c>
      <c r="R45" s="40">
        <v>33.427291260750131</v>
      </c>
    </row>
    <row r="46" spans="1:18" s="76" customFormat="1" ht="13.5" thickBot="1" x14ac:dyDescent="0.25">
      <c r="A46" s="129" t="str">
        <f>VLOOKUP("&lt;Zeilentitel_32&gt;",Uebersetzungen!$B$3:$E$63,Uebersetzungen!$B$2+1,FALSE)</f>
        <v>Tessin</v>
      </c>
      <c r="B46" s="130">
        <v>303163.00000000396</v>
      </c>
      <c r="C46" s="131">
        <v>10929.814288005213</v>
      </c>
      <c r="D46" s="132">
        <v>7.4238272423249381</v>
      </c>
      <c r="E46" s="133">
        <v>179705.29292270835</v>
      </c>
      <c r="F46" s="132">
        <v>1.195314946037662</v>
      </c>
      <c r="G46" s="131">
        <v>16262.523184394871</v>
      </c>
      <c r="H46" s="134">
        <v>6.3466814733880961</v>
      </c>
      <c r="I46" s="135">
        <v>173.8825689553972</v>
      </c>
      <c r="J46" s="136">
        <v>60.633456656682377</v>
      </c>
      <c r="K46" s="133">
        <v>6721.9066302453502</v>
      </c>
      <c r="L46" s="132">
        <v>10.382030350554942</v>
      </c>
      <c r="M46" s="131">
        <v>2141.3832260278182</v>
      </c>
      <c r="N46" s="134">
        <v>17.602393156480606</v>
      </c>
      <c r="O46" s="131">
        <v>83524.700132173544</v>
      </c>
      <c r="P46" s="132">
        <v>2.4102759290191376</v>
      </c>
      <c r="Q46" s="131">
        <v>3703.4970474934121</v>
      </c>
      <c r="R46" s="137">
        <v>12.982830889510639</v>
      </c>
    </row>
    <row r="47" spans="1:18" s="76" customFormat="1" ht="12.75" x14ac:dyDescent="0.2">
      <c r="A47" s="8"/>
      <c r="B47" s="5"/>
      <c r="C47" s="9"/>
      <c r="D47" s="10"/>
      <c r="E47" s="10"/>
      <c r="F47" s="10"/>
      <c r="G47" s="11"/>
      <c r="H47" s="12"/>
      <c r="I47" s="11"/>
      <c r="J47" s="12"/>
      <c r="K47" s="11"/>
      <c r="L47" s="12"/>
      <c r="M47" s="11"/>
      <c r="N47" s="12"/>
      <c r="O47" s="11"/>
      <c r="P47" s="12"/>
      <c r="Q47" s="11"/>
      <c r="R47" s="12"/>
    </row>
    <row r="48" spans="1:18" s="76" customFormat="1" ht="12.75" x14ac:dyDescent="0.2">
      <c r="A48" s="16" t="str">
        <f>VLOOKUP("&lt;Legende_1&gt;",Uebersetzungen!$B$3:$E$63,Uebersetzungen!$B$2+1,FALSE)</f>
        <v xml:space="preserve">Ab 2010 stammen die Daten aus einer Stichprobenerhebung der ständigen Wohnbevölkerung ab vollendetem 15. Altersjahr, die in Privathaushalten lebt. </v>
      </c>
      <c r="B48" s="5"/>
      <c r="C48" s="9"/>
      <c r="D48" s="10"/>
      <c r="E48" s="10"/>
      <c r="F48" s="10"/>
      <c r="G48" s="11"/>
      <c r="H48" s="12"/>
      <c r="I48" s="11"/>
      <c r="J48" s="12"/>
      <c r="K48" s="11"/>
      <c r="L48" s="12"/>
      <c r="M48" s="11"/>
      <c r="N48" s="12"/>
      <c r="O48" s="11"/>
      <c r="P48" s="12"/>
      <c r="Q48" s="11"/>
      <c r="R48" s="12"/>
    </row>
    <row r="49" spans="1:18" s="76" customFormat="1" ht="12.75" x14ac:dyDescent="0.2">
      <c r="A49" s="16" t="str">
        <f>VLOOKUP("&lt;Legende_2&gt;",Uebersetzungen!$B$3:$E$63,Uebersetzungen!$B$2+1,FALSE)</f>
        <v>Nicht befragt wurden Diplomaten, internationale Funktionäre und deren Familienangehörige. Diese Daten sind mit jenen der frühreren Jahre nicht direkt vergleichbar.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s="76" customFormat="1" ht="12.75" x14ac:dyDescent="0.2">
      <c r="A50" s="16" t="str">
        <f>VLOOKUP("&lt;Legende_3&gt;",Uebersetzungen!$B$3:$E$63,Uebersetzungen!$B$2+1,FALSE)</f>
        <v>Das Vertrauensintervall zeigt die Genauigkeit der Resultate einer Stichprobenerhebung.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1:18" s="76" customFormat="1" ht="12.75" x14ac:dyDescent="0.2">
      <c r="A51" s="16" t="str">
        <f>VLOOKUP("&lt;Legende_4&gt;",Uebersetzungen!$B$3:$E$63,Uebersetzungen!$B$2+1,FALSE)</f>
        <v>(): Extrapolation aufgrund von 49 oder weniger Beobachtungen. Die Resultate sind mit grosser Vorsicht zu interpretieren.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s="76" customFormat="1" ht="12.75" x14ac:dyDescent="0.2">
      <c r="A52" s="13" t="str">
        <f>VLOOKUP("&lt;Legende_5&gt;",Uebersetzungen!$B$3:$E$63,Uebersetzungen!$B$2+1,FALSE)</f>
        <v>X: Extrapolation aufgrund von 4 oder weniger Beobachtungen. Die Resultate werden aus Gründen des Datenschutzes nicht publiziert.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s="76" customFormat="1" ht="12.75" x14ac:dyDescent="0.2">
      <c r="A53" s="13" t="str">
        <f>VLOOKUP("&lt;Legende_6&gt;",Uebersetzungen!$B$3:$E$63,Uebersetzungen!$B$2+1,FALSE)</f>
        <v>* inkl. andere aus dem Islam hervorgegangene Gemeinschaften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 s="76" customFormat="1" ht="12.75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18" s="76" customFormat="1" ht="12.75" x14ac:dyDescent="0.2">
      <c r="A55" s="16" t="str">
        <f>VLOOKUP("&lt;quelle_1&gt;",Uebersetzungen!$B$3:$E$63,Uebersetzungen!$B$2+1,FALSE)</f>
        <v>Quelle: BFS (Strukturerhebung)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8" s="76" customFormat="1" ht="12.75" x14ac:dyDescent="0.2">
      <c r="A56" s="13" t="str">
        <f>VLOOKUP("&lt;aktualisierung&gt;",Uebersetzungen!$B$3:$E$213,Uebersetzungen!$B$2+1,FALSE)</f>
        <v>Letztmals aktualisiert am: 29.01.2026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</sheetData>
  <sheetProtection sheet="1" objects="1" scenarios="1"/>
  <mergeCells count="11">
    <mergeCell ref="A7:D7"/>
    <mergeCell ref="Q13:R13"/>
    <mergeCell ref="B12:R12"/>
    <mergeCell ref="B13:B14"/>
    <mergeCell ref="C13:D13"/>
    <mergeCell ref="E13:F13"/>
    <mergeCell ref="G13:H13"/>
    <mergeCell ref="I13:J13"/>
    <mergeCell ref="K13:L13"/>
    <mergeCell ref="M13:N13"/>
    <mergeCell ref="O13:P13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4" name="Option Button 1">
              <controlPr defaultSize="0" autoFill="0" autoLine="0" autoPict="0">
                <anchor moveWithCells="1">
                  <from>
                    <xdr:col>6</xdr:col>
                    <xdr:colOff>295275</xdr:colOff>
                    <xdr:row>1</xdr:row>
                    <xdr:rowOff>114300</xdr:rowOff>
                  </from>
                  <to>
                    <xdr:col>7</xdr:col>
                    <xdr:colOff>695325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2" r:id="rId5" name="Option Button 2">
              <controlPr defaultSize="0" autoFill="0" autoLine="0" autoPict="0">
                <anchor moveWithCells="1">
                  <from>
                    <xdr:col>6</xdr:col>
                    <xdr:colOff>295275</xdr:colOff>
                    <xdr:row>2</xdr:row>
                    <xdr:rowOff>104775</xdr:rowOff>
                  </from>
                  <to>
                    <xdr:col>8</xdr:col>
                    <xdr:colOff>276225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3" r:id="rId6" name="Option Button 3">
              <controlPr defaultSize="0" autoFill="0" autoLine="0" autoPict="0">
                <anchor moveWithCells="1">
                  <from>
                    <xdr:col>6</xdr:col>
                    <xdr:colOff>295275</xdr:colOff>
                    <xdr:row>3</xdr:row>
                    <xdr:rowOff>66675</xdr:rowOff>
                  </from>
                  <to>
                    <xdr:col>7</xdr:col>
                    <xdr:colOff>695325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6"/>
  <sheetViews>
    <sheetView showGridLines="0" workbookViewId="0"/>
  </sheetViews>
  <sheetFormatPr baseColWidth="10" defaultColWidth="9.140625" defaultRowHeight="14.25" x14ac:dyDescent="0.2"/>
  <cols>
    <col min="1" max="1" width="22.7109375" style="53" customWidth="1"/>
    <col min="2" max="2" width="9.140625" style="53" customWidth="1"/>
    <col min="3" max="18" width="12.42578125" style="53" customWidth="1"/>
    <col min="19" max="16384" width="9.140625" style="77"/>
  </cols>
  <sheetData>
    <row r="1" spans="1:18" s="75" customFormat="1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75" customFormat="1" ht="15.75" x14ac:dyDescent="0.25">
      <c r="A2" s="1"/>
      <c r="B2" s="15"/>
      <c r="C2" s="53"/>
      <c r="D2" s="5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75" customFormat="1" ht="15.75" x14ac:dyDescent="0.25">
      <c r="A3" s="1"/>
      <c r="B3" s="15"/>
      <c r="C3" s="53"/>
      <c r="D3" s="5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s="75" customFormat="1" ht="15.75" x14ac:dyDescent="0.25">
      <c r="A4" s="1"/>
      <c r="B4" s="15"/>
      <c r="C4" s="53"/>
      <c r="D4" s="5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75" customFormat="1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s="75" customFormat="1" ht="12.7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s="75" customFormat="1" ht="15.75" customHeight="1" x14ac:dyDescent="0.2">
      <c r="A7" s="146" t="str">
        <f>VLOOKUP("&lt;Fachbereich&gt;",Uebersetzungen!$B$3:$E$63,Uebersetzungen!$B$2+1,FALSE)</f>
        <v>Daten &amp; Statistik</v>
      </c>
      <c r="B7" s="146"/>
      <c r="C7" s="146"/>
      <c r="D7" s="146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</row>
    <row r="8" spans="1:18" s="75" customFormat="1" ht="12.7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s="76" customFormat="1" ht="18" x14ac:dyDescent="0.2">
      <c r="A9" s="19" t="str">
        <f>VLOOKUP("&lt;Titel&gt;",Uebersetzungen!$B$3:$E$63,Uebersetzungen!$B$2+1,FALSE)</f>
        <v>Religionszugehörigkeit nach Kanton</v>
      </c>
      <c r="B9" s="54"/>
      <c r="C9" s="55"/>
      <c r="D9" s="55"/>
      <c r="E9" s="55"/>
      <c r="F9" s="55"/>
      <c r="G9" s="55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s="76" customFormat="1" ht="12.75" x14ac:dyDescent="0.2">
      <c r="A10" s="20" t="str">
        <f>VLOOKUP("&lt;UTitel&gt;",Uebersetzungen!$B$3:$E$63,Uebersetzungen!$B$2+1,FALSE)</f>
        <v>Ständige Wohnbevölkerung ab 15 Jahren</v>
      </c>
      <c r="B10" s="54"/>
      <c r="C10" s="55"/>
      <c r="D10" s="55"/>
      <c r="E10" s="55"/>
      <c r="F10" s="55"/>
      <c r="G10" s="5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8.75" thickBot="1" x14ac:dyDescent="0.3">
      <c r="B11" s="17"/>
      <c r="C11" s="18"/>
      <c r="D11" s="4"/>
      <c r="E11" s="4"/>
      <c r="F11" s="4"/>
      <c r="G11" s="4"/>
      <c r="H11" s="4"/>
      <c r="I11" s="4"/>
      <c r="J11" s="4"/>
    </row>
    <row r="12" spans="1:18" s="78" customFormat="1" ht="18" x14ac:dyDescent="0.25">
      <c r="A12" s="3"/>
      <c r="B12" s="154">
        <v>2021</v>
      </c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6"/>
    </row>
    <row r="13" spans="1:18" s="78" customFormat="1" ht="37.5" customHeight="1" x14ac:dyDescent="0.25">
      <c r="A13" s="3"/>
      <c r="B13" s="157" t="str">
        <f>VLOOKUP("&lt;SpaltenTitel_1&gt;",Uebersetzungen!$B$3:$E$63,Uebersetzungen!$B$2+1,FALSE)</f>
        <v>Total</v>
      </c>
      <c r="C13" s="152" t="str">
        <f>VLOOKUP("&lt;SpaltenTitel_2&gt;",Uebersetzungen!$B$3:$E$63,Uebersetzungen!$B$2+1,FALSE)</f>
        <v>Evangelisch-reformiert</v>
      </c>
      <c r="D13" s="152"/>
      <c r="E13" s="152" t="str">
        <f>VLOOKUP("&lt;SpaltenTitel_3&gt;",Uebersetzungen!$B$3:$E$63,Uebersetzungen!$B$2+1,FALSE)</f>
        <v>Römisch-katholisch</v>
      </c>
      <c r="F13" s="152"/>
      <c r="G13" s="152" t="str">
        <f>VLOOKUP("&lt;SpaltenTitel_4&gt;",Uebersetzungen!$B$3:$E$63,Uebersetzungen!$B$2+1,FALSE)</f>
        <v>Andere christliche Glaubensgemeinschaften</v>
      </c>
      <c r="H13" s="152"/>
      <c r="I13" s="152" t="str">
        <f>VLOOKUP("&lt;SpaltenTitel_5&gt;",Uebersetzungen!$B$3:$E$63,Uebersetzungen!$B$2+1,FALSE)</f>
        <v>Jüdische Glaubensgemeinschaften</v>
      </c>
      <c r="J13" s="152"/>
      <c r="K13" s="152" t="str">
        <f>VLOOKUP("&lt;SpaltenTitel_6&gt;",Uebersetzungen!$B$3:$E$63,Uebersetzungen!$B$2+1,FALSE)</f>
        <v>Islamische Glaubensgem.*</v>
      </c>
      <c r="L13" s="152"/>
      <c r="M13" s="152" t="str">
        <f>VLOOKUP("&lt;SpaltenTitel_7&gt;",Uebersetzungen!$B$3:$E$63,Uebersetzungen!$B$2+1,FALSE)</f>
        <v>Andere Religionsgemeinschaften</v>
      </c>
      <c r="N13" s="152"/>
      <c r="O13" s="152" t="str">
        <f>VLOOKUP("&lt;SpaltenTitel_8&gt;",Uebersetzungen!$B$3:$E$63,Uebersetzungen!$B$2+1,FALSE)</f>
        <v>Ohne Religionszugehörigkeit</v>
      </c>
      <c r="P13" s="152"/>
      <c r="Q13" s="152" t="str">
        <f>VLOOKUP("&lt;SpaltenTitel_9&gt;",Uebersetzungen!$B$3:$E$63,Uebersetzungen!$B$2+1,FALSE)</f>
        <v>Religionszugehörigkeit unbekannt</v>
      </c>
      <c r="R13" s="153"/>
    </row>
    <row r="14" spans="1:18" s="78" customFormat="1" ht="39" thickBot="1" x14ac:dyDescent="0.3">
      <c r="A14" s="6"/>
      <c r="B14" s="151"/>
      <c r="C14" s="112" t="str">
        <f>VLOOKUP("&lt;SpaltenTitel_2.1&gt;",Uebersetzungen!$B$3:$E$63,Uebersetzungen!$B$2+1,FALSE)</f>
        <v>Anzahl Personen</v>
      </c>
      <c r="D14" s="112" t="str">
        <f>VLOOKUP("&lt;SpaltenTitel_2.2&gt;",Uebersetzungen!$B$3:$E$63,Uebersetzungen!$B$2+1,FALSE)</f>
        <v>Vertrauens- intervall:          ± (in %)</v>
      </c>
      <c r="E14" s="112" t="str">
        <f>VLOOKUP("&lt;SpaltenTitel_2.1&gt;",Uebersetzungen!$B$3:$E$63,Uebersetzungen!$B$2+1,FALSE)</f>
        <v>Anzahl Personen</v>
      </c>
      <c r="F14" s="112" t="str">
        <f>VLOOKUP("&lt;SpaltenTitel_2.2&gt;",Uebersetzungen!$B$3:$E$63,Uebersetzungen!$B$2+1,FALSE)</f>
        <v>Vertrauens- intervall:          ± (in %)</v>
      </c>
      <c r="G14" s="112" t="str">
        <f>VLOOKUP("&lt;SpaltenTitel_2.1&gt;",Uebersetzungen!$B$3:$E$63,Uebersetzungen!$B$2+1,FALSE)</f>
        <v>Anzahl Personen</v>
      </c>
      <c r="H14" s="112" t="str">
        <f>VLOOKUP("&lt;SpaltenTitel_2.2&gt;",Uebersetzungen!$B$3:$E$63,Uebersetzungen!$B$2+1,FALSE)</f>
        <v>Vertrauens- intervall:          ± (in %)</v>
      </c>
      <c r="I14" s="112" t="str">
        <f>VLOOKUP("&lt;SpaltenTitel_2.1&gt;",Uebersetzungen!$B$3:$E$63,Uebersetzungen!$B$2+1,FALSE)</f>
        <v>Anzahl Personen</v>
      </c>
      <c r="J14" s="112" t="str">
        <f>VLOOKUP("&lt;SpaltenTitel_2.2&gt;",Uebersetzungen!$B$3:$E$63,Uebersetzungen!$B$2+1,FALSE)</f>
        <v>Vertrauens- intervall:          ± (in %)</v>
      </c>
      <c r="K14" s="112" t="str">
        <f>VLOOKUP("&lt;SpaltenTitel_2.1&gt;",Uebersetzungen!$B$3:$E$63,Uebersetzungen!$B$2+1,FALSE)</f>
        <v>Anzahl Personen</v>
      </c>
      <c r="L14" s="112" t="str">
        <f>VLOOKUP("&lt;SpaltenTitel_2.2&gt;",Uebersetzungen!$B$3:$E$63,Uebersetzungen!$B$2+1,FALSE)</f>
        <v>Vertrauens- intervall:          ± (in %)</v>
      </c>
      <c r="M14" s="112" t="str">
        <f>VLOOKUP("&lt;SpaltenTitel_2.1&gt;",Uebersetzungen!$B$3:$E$63,Uebersetzungen!$B$2+1,FALSE)</f>
        <v>Anzahl Personen</v>
      </c>
      <c r="N14" s="112" t="str">
        <f>VLOOKUP("&lt;SpaltenTitel_2.2&gt;",Uebersetzungen!$B$3:$E$63,Uebersetzungen!$B$2+1,FALSE)</f>
        <v>Vertrauens- intervall:          ± (in %)</v>
      </c>
      <c r="O14" s="112" t="str">
        <f>VLOOKUP("&lt;SpaltenTitel_2.1&gt;",Uebersetzungen!$B$3:$E$63,Uebersetzungen!$B$2+1,FALSE)</f>
        <v>Anzahl Personen</v>
      </c>
      <c r="P14" s="112" t="str">
        <f>VLOOKUP("&lt;SpaltenTitel_2.2&gt;",Uebersetzungen!$B$3:$E$63,Uebersetzungen!$B$2+1,FALSE)</f>
        <v>Vertrauens- intervall:          ± (in %)</v>
      </c>
      <c r="Q14" s="112" t="str">
        <f>VLOOKUP("&lt;SpaltenTitel_2.1&gt;",Uebersetzungen!$B$3:$E$63,Uebersetzungen!$B$2+1,FALSE)</f>
        <v>Anzahl Personen</v>
      </c>
      <c r="R14" s="113" t="str">
        <f>VLOOKUP("&lt;SpaltenTitel_2.2&gt;",Uebersetzungen!$B$3:$E$63,Uebersetzungen!$B$2+1,FALSE)</f>
        <v>Vertrauens- intervall:          ± (in %)</v>
      </c>
    </row>
    <row r="15" spans="1:18" s="76" customFormat="1" ht="12.75" x14ac:dyDescent="0.2">
      <c r="A15" s="14" t="str">
        <f>VLOOKUP("&lt;Zeilentitel_1&gt;",Uebersetzungen!$B$3:$E$63,Uebersetzungen!$B$2+1,FALSE)</f>
        <v>Total</v>
      </c>
      <c r="B15" s="28">
        <v>7243555.0000000056</v>
      </c>
      <c r="C15" s="108">
        <v>1531097.139242657</v>
      </c>
      <c r="D15" s="119">
        <v>0.70582856440214403</v>
      </c>
      <c r="E15" s="120">
        <v>2382269.9941009115</v>
      </c>
      <c r="F15" s="119">
        <v>0.51168484264767822</v>
      </c>
      <c r="G15" s="109">
        <v>405721.04463225952</v>
      </c>
      <c r="H15" s="121">
        <v>1.6106413791917076</v>
      </c>
      <c r="I15" s="109">
        <v>17468.142846410021</v>
      </c>
      <c r="J15" s="119">
        <v>7.8948566582557813</v>
      </c>
      <c r="K15" s="110">
        <v>409520.81088942039</v>
      </c>
      <c r="L15" s="119">
        <v>1.6996516959359125</v>
      </c>
      <c r="M15" s="109">
        <v>91637.777010977064</v>
      </c>
      <c r="N15" s="121">
        <v>3.5301558443496366</v>
      </c>
      <c r="O15" s="108">
        <v>2338791.4148866693</v>
      </c>
      <c r="P15" s="119">
        <v>0.55059333492955531</v>
      </c>
      <c r="Q15" s="109">
        <v>67048.676390701585</v>
      </c>
      <c r="R15" s="122">
        <v>3.8648779439685881</v>
      </c>
    </row>
    <row r="16" spans="1:18" s="76" customFormat="1" ht="12.75" x14ac:dyDescent="0.2">
      <c r="A16" s="56" t="str">
        <f>VLOOKUP("&lt;Zeilentitel_2&gt;",Uebersetzungen!$B$3:$E$63,Uebersetzungen!$B$2+1,FALSE)</f>
        <v>Genferseeregion</v>
      </c>
      <c r="B16" s="114">
        <v>1358325.9999999977</v>
      </c>
      <c r="C16" s="57">
        <v>176027.8595643031</v>
      </c>
      <c r="D16" s="58">
        <v>1.7969788676711</v>
      </c>
      <c r="E16" s="59">
        <v>488337.76496167824</v>
      </c>
      <c r="F16" s="58">
        <v>0.97764727339875523</v>
      </c>
      <c r="G16" s="57">
        <v>69716.968492572239</v>
      </c>
      <c r="H16" s="60">
        <v>3.3086096205287734</v>
      </c>
      <c r="I16" s="57">
        <v>6102.3151955757976</v>
      </c>
      <c r="J16" s="58">
        <v>10.740369153454354</v>
      </c>
      <c r="K16" s="59">
        <v>76503.256743537102</v>
      </c>
      <c r="L16" s="58">
        <v>3.3492099342998891</v>
      </c>
      <c r="M16" s="57">
        <v>15705.718494022372</v>
      </c>
      <c r="N16" s="60">
        <v>7.0165487939652618</v>
      </c>
      <c r="O16" s="57">
        <v>504345.23652152333</v>
      </c>
      <c r="P16" s="58">
        <v>0.98137905677648196</v>
      </c>
      <c r="Q16" s="57">
        <v>21586.880026785715</v>
      </c>
      <c r="R16" s="61">
        <v>5.8879266960153345</v>
      </c>
    </row>
    <row r="17" spans="1:18" s="76" customFormat="1" ht="12.75" x14ac:dyDescent="0.2">
      <c r="A17" s="7" t="str">
        <f>VLOOKUP("&lt;Zeilentitel_3&gt;",Uebersetzungen!$B$3:$E$63,Uebersetzungen!$B$2+1,FALSE)</f>
        <v>Waadt</v>
      </c>
      <c r="B17" s="115">
        <v>671589.99999999849</v>
      </c>
      <c r="C17" s="29">
        <v>131990.05016812167</v>
      </c>
      <c r="D17" s="30">
        <v>1.9247704730880635</v>
      </c>
      <c r="E17" s="31">
        <v>180525.82693013398</v>
      </c>
      <c r="F17" s="30">
        <v>1.624692691353911</v>
      </c>
      <c r="G17" s="29">
        <v>39434.854051862254</v>
      </c>
      <c r="H17" s="32">
        <v>4.0058550918901483</v>
      </c>
      <c r="I17" s="29">
        <v>2005.4978405620036</v>
      </c>
      <c r="J17" s="30">
        <v>17.968756412044044</v>
      </c>
      <c r="K17" s="31">
        <v>37725.618617267472</v>
      </c>
      <c r="L17" s="30">
        <v>4.3600622338626982</v>
      </c>
      <c r="M17" s="29">
        <v>8400.9263724440352</v>
      </c>
      <c r="N17" s="32">
        <v>8.9596957639801893</v>
      </c>
      <c r="O17" s="29">
        <v>261142.36753927058</v>
      </c>
      <c r="P17" s="30">
        <v>1.2526832690233691</v>
      </c>
      <c r="Q17" s="29">
        <v>10364.858480336548</v>
      </c>
      <c r="R17" s="33">
        <v>7.9232039373781928</v>
      </c>
    </row>
    <row r="18" spans="1:18" s="76" customFormat="1" ht="12.75" x14ac:dyDescent="0.2">
      <c r="A18" s="7" t="str">
        <f>VLOOKUP("&lt;Zeilentitel_4&gt;",Uebersetzungen!$B$3:$E$63,Uebersetzungen!$B$2+1,FALSE)</f>
        <v>Wallis</v>
      </c>
      <c r="B18" s="115">
        <v>295660.00000000279</v>
      </c>
      <c r="C18" s="29">
        <v>15619.172891883971</v>
      </c>
      <c r="D18" s="30">
        <v>8.7930133785110556</v>
      </c>
      <c r="E18" s="31">
        <v>194413.93278034637</v>
      </c>
      <c r="F18" s="30">
        <v>1.5078839684899685</v>
      </c>
      <c r="G18" s="29">
        <v>9367.2740986693898</v>
      </c>
      <c r="H18" s="32">
        <v>12.423990812109075</v>
      </c>
      <c r="I18" s="34">
        <v>259.15514523761709</v>
      </c>
      <c r="J18" s="35">
        <v>76.796832436177411</v>
      </c>
      <c r="K18" s="31">
        <v>11253.375831764193</v>
      </c>
      <c r="L18" s="30">
        <v>12.018397264473183</v>
      </c>
      <c r="M18" s="36">
        <v>1774.765158417614</v>
      </c>
      <c r="N18" s="37">
        <v>28.635617380346037</v>
      </c>
      <c r="O18" s="29">
        <v>59983.302768132751</v>
      </c>
      <c r="P18" s="30">
        <v>4.3342509764916999</v>
      </c>
      <c r="Q18" s="29">
        <v>2989.0213255509302</v>
      </c>
      <c r="R18" s="33">
        <v>21.056077128383894</v>
      </c>
    </row>
    <row r="19" spans="1:18" s="76" customFormat="1" ht="12.75" x14ac:dyDescent="0.2">
      <c r="A19" s="7" t="str">
        <f>VLOOKUP("&lt;Zeilentitel_5&gt;",Uebersetzungen!$B$3:$E$63,Uebersetzungen!$B$2+1,FALSE)</f>
        <v>Genf</v>
      </c>
      <c r="B19" s="115">
        <v>391075.99999999651</v>
      </c>
      <c r="C19" s="29">
        <v>28418.636504297454</v>
      </c>
      <c r="D19" s="30">
        <v>4.5409721290884093</v>
      </c>
      <c r="E19" s="31">
        <v>113398.00525119789</v>
      </c>
      <c r="F19" s="30">
        <v>2.0862500378196005</v>
      </c>
      <c r="G19" s="29">
        <v>20914.840342040596</v>
      </c>
      <c r="H19" s="32">
        <v>5.7986347859441629</v>
      </c>
      <c r="I19" s="29">
        <v>3837.6622097761765</v>
      </c>
      <c r="J19" s="30">
        <v>13.289140621630956</v>
      </c>
      <c r="K19" s="31">
        <v>27524.262294505446</v>
      </c>
      <c r="L19" s="30">
        <v>5.1769551934957638</v>
      </c>
      <c r="M19" s="29">
        <v>5530.0269631607225</v>
      </c>
      <c r="N19" s="32">
        <v>11.286615131446638</v>
      </c>
      <c r="O19" s="29">
        <v>183219.56621412002</v>
      </c>
      <c r="P19" s="30">
        <v>1.4478974721913827</v>
      </c>
      <c r="Q19" s="29">
        <v>8233.0002208982369</v>
      </c>
      <c r="R19" s="33">
        <v>8.9665809422421887</v>
      </c>
    </row>
    <row r="20" spans="1:18" s="76" customFormat="1" ht="12.75" x14ac:dyDescent="0.2">
      <c r="A20" s="56" t="str">
        <f>VLOOKUP("&lt;Zeilentitel_6&gt;",Uebersetzungen!$B$3:$E$63,Uebersetzungen!$B$2+1,FALSE)</f>
        <v>Espace Mittelland</v>
      </c>
      <c r="B20" s="114">
        <v>1589114.9999999844</v>
      </c>
      <c r="C20" s="57">
        <v>502465.87040528969</v>
      </c>
      <c r="D20" s="58">
        <v>1.1894823093918814</v>
      </c>
      <c r="E20" s="59">
        <v>413221.91446405789</v>
      </c>
      <c r="F20" s="58">
        <v>1.3779210396927655</v>
      </c>
      <c r="G20" s="57">
        <v>87057.67895637342</v>
      </c>
      <c r="H20" s="60">
        <v>3.7676158969538021</v>
      </c>
      <c r="I20" s="62">
        <v>1304.0346267947327</v>
      </c>
      <c r="J20" s="63">
        <v>30.851958242095016</v>
      </c>
      <c r="K20" s="59">
        <v>77239.106278294217</v>
      </c>
      <c r="L20" s="58">
        <v>4.3064804814421498</v>
      </c>
      <c r="M20" s="57">
        <v>20517.580446375112</v>
      </c>
      <c r="N20" s="60">
        <v>8.1107821077543072</v>
      </c>
      <c r="O20" s="57">
        <v>472414.0458027742</v>
      </c>
      <c r="P20" s="58">
        <v>1.3414163154790673</v>
      </c>
      <c r="Q20" s="57">
        <v>14894.76902002524</v>
      </c>
      <c r="R20" s="61">
        <v>9.0008155301849904</v>
      </c>
    </row>
    <row r="21" spans="1:18" s="76" customFormat="1" ht="12.75" x14ac:dyDescent="0.2">
      <c r="A21" s="7" t="str">
        <f>VLOOKUP("&lt;Zeilentitel_7&gt;",Uebersetzungen!$B$3:$E$63,Uebersetzungen!$B$2+1,FALSE)</f>
        <v>Bern</v>
      </c>
      <c r="B21" s="115">
        <v>875658.0000000007</v>
      </c>
      <c r="C21" s="29">
        <v>403799.55641316139</v>
      </c>
      <c r="D21" s="30">
        <v>1.2755371820830192</v>
      </c>
      <c r="E21" s="31">
        <v>127938.09745128096</v>
      </c>
      <c r="F21" s="30">
        <v>2.943381256938205</v>
      </c>
      <c r="G21" s="29">
        <v>55032.847987115158</v>
      </c>
      <c r="H21" s="32">
        <v>4.7810813289331566</v>
      </c>
      <c r="I21" s="34">
        <v>695.28786921535891</v>
      </c>
      <c r="J21" s="35">
        <v>43.443882219510172</v>
      </c>
      <c r="K21" s="31">
        <v>38547.751969062723</v>
      </c>
      <c r="L21" s="30">
        <v>6.269476060250704</v>
      </c>
      <c r="M21" s="29">
        <v>12748.851414267619</v>
      </c>
      <c r="N21" s="32">
        <v>10.445011575558112</v>
      </c>
      <c r="O21" s="29">
        <v>229703.46867457431</v>
      </c>
      <c r="P21" s="30">
        <v>2.0573057974750673</v>
      </c>
      <c r="Q21" s="29">
        <v>7192.13822132313</v>
      </c>
      <c r="R21" s="33">
        <v>13.323318083456074</v>
      </c>
    </row>
    <row r="22" spans="1:18" s="76" customFormat="1" ht="12.75" x14ac:dyDescent="0.2">
      <c r="A22" s="7" t="str">
        <f>VLOOKUP("&lt;Zeilentitel_8&gt;",Uebersetzungen!$B$3:$E$63,Uebersetzungen!$B$2+1,FALSE)</f>
        <v>Freiburg</v>
      </c>
      <c r="B22" s="115">
        <v>269595.99999999168</v>
      </c>
      <c r="C22" s="29">
        <v>28497.198261000078</v>
      </c>
      <c r="D22" s="30">
        <v>6.1894948852755762</v>
      </c>
      <c r="E22" s="31">
        <v>147213.34445081433</v>
      </c>
      <c r="F22" s="30">
        <v>1.9728689439299463</v>
      </c>
      <c r="G22" s="29">
        <v>10674.964432709909</v>
      </c>
      <c r="H22" s="32">
        <v>11.257778106136968</v>
      </c>
      <c r="I22" s="34">
        <v>252.58500990290668</v>
      </c>
      <c r="J22" s="35">
        <v>73.525535674629396</v>
      </c>
      <c r="K22" s="31">
        <v>11465.03783057255</v>
      </c>
      <c r="L22" s="30">
        <v>11.466656556598419</v>
      </c>
      <c r="M22" s="29">
        <v>2275.62214129524</v>
      </c>
      <c r="N22" s="32">
        <v>24.481153772420658</v>
      </c>
      <c r="O22" s="29">
        <v>66359.834484881227</v>
      </c>
      <c r="P22" s="30">
        <v>3.8877364989126826</v>
      </c>
      <c r="Q22" s="29">
        <v>2857.4133888154156</v>
      </c>
      <c r="R22" s="33">
        <v>21.331730704213559</v>
      </c>
    </row>
    <row r="23" spans="1:18" s="76" customFormat="1" ht="12.75" x14ac:dyDescent="0.2">
      <c r="A23" s="7" t="str">
        <f>VLOOKUP("&lt;Zeilentitel_9&gt;",Uebersetzungen!$B$3:$E$63,Uebersetzungen!$B$2+1,FALSE)</f>
        <v>Solothurn</v>
      </c>
      <c r="B23" s="115">
        <v>235455.99999999348</v>
      </c>
      <c r="C23" s="29">
        <v>40287.585769432684</v>
      </c>
      <c r="D23" s="30">
        <v>5.1309324270874113</v>
      </c>
      <c r="E23" s="31">
        <v>70133.067480875703</v>
      </c>
      <c r="F23" s="30">
        <v>3.6431337335158829</v>
      </c>
      <c r="G23" s="29">
        <v>11930.805888553066</v>
      </c>
      <c r="H23" s="32">
        <v>10.656014802592061</v>
      </c>
      <c r="I23" s="38" t="s">
        <v>1</v>
      </c>
      <c r="J23" s="30" t="s">
        <v>1</v>
      </c>
      <c r="K23" s="31">
        <v>18596.807493099761</v>
      </c>
      <c r="L23" s="30">
        <v>8.9021737589454766</v>
      </c>
      <c r="M23" s="29">
        <v>3793.2052111543294</v>
      </c>
      <c r="N23" s="32">
        <v>19.238721268718386</v>
      </c>
      <c r="O23" s="29">
        <v>88363.561958533232</v>
      </c>
      <c r="P23" s="30">
        <v>3.0666702358407645</v>
      </c>
      <c r="Q23" s="29">
        <v>2215.3070616260529</v>
      </c>
      <c r="R23" s="33">
        <v>24.839410561667535</v>
      </c>
    </row>
    <row r="24" spans="1:18" s="76" customFormat="1" ht="12.75" x14ac:dyDescent="0.2">
      <c r="A24" s="7" t="str">
        <f>VLOOKUP("&lt;Zeilentitel_10&gt;",Uebersetzungen!$B$3:$E$63,Uebersetzungen!$B$2+1,FALSE)</f>
        <v>Neuenburg</v>
      </c>
      <c r="B24" s="115">
        <v>146777.9999999991</v>
      </c>
      <c r="C24" s="29">
        <v>24987.928466076562</v>
      </c>
      <c r="D24" s="30">
        <v>4.4878893754281126</v>
      </c>
      <c r="E24" s="31">
        <v>28665.34443213449</v>
      </c>
      <c r="F24" s="30">
        <v>4.2452791104318903</v>
      </c>
      <c r="G24" s="29">
        <v>6977.4849633037493</v>
      </c>
      <c r="H24" s="32">
        <v>9.6775931880981343</v>
      </c>
      <c r="I24" s="34">
        <v>148.79249550854516</v>
      </c>
      <c r="J24" s="35">
        <v>63.759483635481608</v>
      </c>
      <c r="K24" s="31">
        <v>6801.3249955680758</v>
      </c>
      <c r="L24" s="30">
        <v>10.313630578572125</v>
      </c>
      <c r="M24" s="29">
        <v>1204.6561499861091</v>
      </c>
      <c r="N24" s="32">
        <v>24.507742073784978</v>
      </c>
      <c r="O24" s="29">
        <v>75948.540777255083</v>
      </c>
      <c r="P24" s="30">
        <v>2.1037969445928155</v>
      </c>
      <c r="Q24" s="29">
        <v>2043.9277201664906</v>
      </c>
      <c r="R24" s="33">
        <v>17.606850075286722</v>
      </c>
    </row>
    <row r="25" spans="1:18" s="76" customFormat="1" ht="12.75" x14ac:dyDescent="0.2">
      <c r="A25" s="7" t="str">
        <f>VLOOKUP("&lt;Zeilentitel_11&gt;",Uebersetzungen!$B$3:$E$63,Uebersetzungen!$B$2+1,FALSE)</f>
        <v>Jura</v>
      </c>
      <c r="B25" s="115">
        <v>61626.999999999643</v>
      </c>
      <c r="C25" s="29">
        <v>4893.6014956190056</v>
      </c>
      <c r="D25" s="30">
        <v>15.167279188404743</v>
      </c>
      <c r="E25" s="31">
        <v>39272.060648952422</v>
      </c>
      <c r="F25" s="30">
        <v>3.4118871985308985</v>
      </c>
      <c r="G25" s="29">
        <v>2441.5756846915488</v>
      </c>
      <c r="H25" s="32">
        <v>23.12660005692549</v>
      </c>
      <c r="I25" s="38" t="s">
        <v>1</v>
      </c>
      <c r="J25" s="30" t="s">
        <v>1</v>
      </c>
      <c r="K25" s="39">
        <v>1828.1839899911163</v>
      </c>
      <c r="L25" s="35">
        <v>28.020858152217258</v>
      </c>
      <c r="M25" s="34">
        <v>495.24552967181489</v>
      </c>
      <c r="N25" s="37">
        <v>51.898785143137808</v>
      </c>
      <c r="O25" s="29">
        <v>12038.639907530307</v>
      </c>
      <c r="P25" s="30">
        <v>9.3751991069937475</v>
      </c>
      <c r="Q25" s="34">
        <v>585.9826280941528</v>
      </c>
      <c r="R25" s="40">
        <v>46.828576091245978</v>
      </c>
    </row>
    <row r="26" spans="1:18" s="76" customFormat="1" ht="12.75" x14ac:dyDescent="0.2">
      <c r="A26" s="56" t="str">
        <f>VLOOKUP("&lt;Zeilentitel_12&gt;",Uebersetzungen!$B$3:$E$63,Uebersetzungen!$B$2+1,FALSE)</f>
        <v>Nordwestschweiz</v>
      </c>
      <c r="B26" s="116">
        <v>996856.00000000722</v>
      </c>
      <c r="C26" s="57">
        <v>210579.27710623108</v>
      </c>
      <c r="D26" s="58">
        <v>1.8346178574367613</v>
      </c>
      <c r="E26" s="59">
        <v>252231.61459646263</v>
      </c>
      <c r="F26" s="58">
        <v>1.6127445749144484</v>
      </c>
      <c r="G26" s="57">
        <v>59517.291241651095</v>
      </c>
      <c r="H26" s="60">
        <v>3.870836107575955</v>
      </c>
      <c r="I26" s="57">
        <v>1725.0752650615395</v>
      </c>
      <c r="J26" s="58">
        <v>26.157635729291261</v>
      </c>
      <c r="K26" s="59">
        <v>70331.770477176149</v>
      </c>
      <c r="L26" s="58">
        <v>3.7578540425932814</v>
      </c>
      <c r="M26" s="57">
        <v>14344.391236537273</v>
      </c>
      <c r="N26" s="60">
        <v>8.3702746853492442</v>
      </c>
      <c r="O26" s="57">
        <v>380129.92637840426</v>
      </c>
      <c r="P26" s="58">
        <v>1.2467294835587459</v>
      </c>
      <c r="Q26" s="57">
        <v>7996.6536984832765</v>
      </c>
      <c r="R26" s="61">
        <v>11.27454331451008</v>
      </c>
    </row>
    <row r="27" spans="1:18" s="76" customFormat="1" ht="12.75" x14ac:dyDescent="0.2">
      <c r="A27" s="7" t="str">
        <f>VLOOKUP("&lt;Zeilentitel_13&gt;",Uebersetzungen!$B$3:$E$63,Uebersetzungen!$B$2+1,FALSE)</f>
        <v>Basel-Stadt</v>
      </c>
      <c r="B27" s="115">
        <v>164398.99999999904</v>
      </c>
      <c r="C27" s="29">
        <v>22109.816724332635</v>
      </c>
      <c r="D27" s="30">
        <v>7.2929354474451653</v>
      </c>
      <c r="E27" s="31">
        <v>22335.632003296068</v>
      </c>
      <c r="F27" s="30">
        <v>7.3113275780353471</v>
      </c>
      <c r="G27" s="29">
        <v>8353.2695279287509</v>
      </c>
      <c r="H27" s="32">
        <v>12.837802045453929</v>
      </c>
      <c r="I27" s="34">
        <v>961.36254672827101</v>
      </c>
      <c r="J27" s="35">
        <v>38.246388400760146</v>
      </c>
      <c r="K27" s="31">
        <v>13244.114031051427</v>
      </c>
      <c r="L27" s="30">
        <v>10.248457503807936</v>
      </c>
      <c r="M27" s="29">
        <v>2772.7865875168709</v>
      </c>
      <c r="N27" s="32">
        <v>21.775422885867886</v>
      </c>
      <c r="O27" s="29">
        <v>92322.955540286086</v>
      </c>
      <c r="P27" s="30">
        <v>2.6202664595282372</v>
      </c>
      <c r="Q27" s="29">
        <v>2299.063038858957</v>
      </c>
      <c r="R27" s="33">
        <v>24.66495769293077</v>
      </c>
    </row>
    <row r="28" spans="1:18" s="76" customFormat="1" ht="12.75" x14ac:dyDescent="0.2">
      <c r="A28" s="7" t="str">
        <f>VLOOKUP("&lt;Zeilentitel_14&gt;",Uebersetzungen!$B$3:$E$63,Uebersetzungen!$B$2+1,FALSE)</f>
        <v>Basel-Landschaft</v>
      </c>
      <c r="B28" s="115">
        <v>246225.00000000623</v>
      </c>
      <c r="C28" s="29">
        <v>67251.881913545891</v>
      </c>
      <c r="D28" s="30">
        <v>3.7352178295318419</v>
      </c>
      <c r="E28" s="31">
        <v>59397.982824744286</v>
      </c>
      <c r="F28" s="30">
        <v>4.1102385697238413</v>
      </c>
      <c r="G28" s="29">
        <v>12764.909132991446</v>
      </c>
      <c r="H28" s="32">
        <v>10.208068825171393</v>
      </c>
      <c r="I28" s="34">
        <v>250.61200759748661</v>
      </c>
      <c r="J28" s="35">
        <v>73.472995133122907</v>
      </c>
      <c r="K28" s="31">
        <v>13802.364513319448</v>
      </c>
      <c r="L28" s="30">
        <v>10.223222065359435</v>
      </c>
      <c r="M28" s="29">
        <v>3781.7839571637687</v>
      </c>
      <c r="N28" s="32">
        <v>19.310561218675854</v>
      </c>
      <c r="O28" s="29">
        <v>87231.201852369384</v>
      </c>
      <c r="P28" s="30">
        <v>3.2157072307359837</v>
      </c>
      <c r="Q28" s="29">
        <v>1744.2637982745182</v>
      </c>
      <c r="R28" s="33">
        <v>27.42791354093012</v>
      </c>
    </row>
    <row r="29" spans="1:18" s="76" customFormat="1" ht="12.75" x14ac:dyDescent="0.2">
      <c r="A29" s="7" t="str">
        <f>VLOOKUP("&lt;Zeilentitel_15&gt;",Uebersetzungen!$B$3:$E$63,Uebersetzungen!$B$2+1,FALSE)</f>
        <v>Aargau</v>
      </c>
      <c r="B29" s="115">
        <v>586232.00000000186</v>
      </c>
      <c r="C29" s="29">
        <v>121217.57846835256</v>
      </c>
      <c r="D29" s="30">
        <v>2.0232800086148215</v>
      </c>
      <c r="E29" s="31">
        <v>170497.99976842228</v>
      </c>
      <c r="F29" s="30">
        <v>1.6506262110110199</v>
      </c>
      <c r="G29" s="29">
        <v>38399.1125807309</v>
      </c>
      <c r="H29" s="32">
        <v>4.0842713019625316</v>
      </c>
      <c r="I29" s="34">
        <v>513.10071073578195</v>
      </c>
      <c r="J29" s="35">
        <v>36.209605730626414</v>
      </c>
      <c r="K29" s="31">
        <v>43285.291932805267</v>
      </c>
      <c r="L29" s="30">
        <v>4.1015317378081528</v>
      </c>
      <c r="M29" s="29">
        <v>7789.8206918566329</v>
      </c>
      <c r="N29" s="32">
        <v>9.4659015863236338</v>
      </c>
      <c r="O29" s="29">
        <v>200575.76898574879</v>
      </c>
      <c r="P29" s="30">
        <v>1.4738699757237568</v>
      </c>
      <c r="Q29" s="29">
        <v>3953.3268613498026</v>
      </c>
      <c r="R29" s="33">
        <v>12.957839925207619</v>
      </c>
    </row>
    <row r="30" spans="1:18" s="76" customFormat="1" ht="12.75" x14ac:dyDescent="0.2">
      <c r="A30" s="7" t="str">
        <f>VLOOKUP("&lt;Zeilentitel_16&gt;",Uebersetzungen!$B$3:$E$63,Uebersetzungen!$B$2+1,FALSE)</f>
        <v>Zürich</v>
      </c>
      <c r="B30" s="117">
        <v>1297872.00000001</v>
      </c>
      <c r="C30" s="29">
        <v>315727.45252480602</v>
      </c>
      <c r="D30" s="30">
        <v>1.7394668389913377</v>
      </c>
      <c r="E30" s="31">
        <v>308671.54822923586</v>
      </c>
      <c r="F30" s="30">
        <v>1.8149836897944864</v>
      </c>
      <c r="G30" s="29">
        <v>83419.069547447463</v>
      </c>
      <c r="H30" s="32">
        <v>3.9637465771410034</v>
      </c>
      <c r="I30" s="29">
        <v>6132.297483873791</v>
      </c>
      <c r="J30" s="30">
        <v>15.337360728588161</v>
      </c>
      <c r="K30" s="31">
        <v>86445.131985188127</v>
      </c>
      <c r="L30" s="30">
        <v>4.0982556859255865</v>
      </c>
      <c r="M30" s="29">
        <v>21337.999625818382</v>
      </c>
      <c r="N30" s="32">
        <v>8.0864154450755361</v>
      </c>
      <c r="O30" s="29">
        <v>467779.87916533981</v>
      </c>
      <c r="P30" s="30">
        <v>1.3661378745452022</v>
      </c>
      <c r="Q30" s="29">
        <v>8358.6214383003135</v>
      </c>
      <c r="R30" s="33">
        <v>12.84135711960198</v>
      </c>
    </row>
    <row r="31" spans="1:18" s="76" customFormat="1" ht="12.75" x14ac:dyDescent="0.2">
      <c r="A31" s="56" t="str">
        <f>VLOOKUP("&lt;Zeilentitel_17&gt;",Uebersetzungen!$B$3:$E$63,Uebersetzungen!$B$2+1,FALSE)</f>
        <v>Ostschweiz</v>
      </c>
      <c r="B31" s="114">
        <v>1006102.0000000116</v>
      </c>
      <c r="C31" s="57">
        <v>248704.15699310534</v>
      </c>
      <c r="D31" s="58">
        <v>1.8125164680653154</v>
      </c>
      <c r="E31" s="59">
        <v>355415.31341827987</v>
      </c>
      <c r="F31" s="58">
        <v>1.4446035265072932</v>
      </c>
      <c r="G31" s="57">
        <v>59284.900344316724</v>
      </c>
      <c r="H31" s="60">
        <v>4.3900104494232925</v>
      </c>
      <c r="I31" s="64">
        <v>928.64750034777603</v>
      </c>
      <c r="J31" s="63">
        <v>36.887198735435767</v>
      </c>
      <c r="K31" s="59">
        <v>63280.002013923986</v>
      </c>
      <c r="L31" s="58">
        <v>4.4884782781653083</v>
      </c>
      <c r="M31" s="57">
        <v>10469.95816355054</v>
      </c>
      <c r="N31" s="60">
        <v>10.839447528331794</v>
      </c>
      <c r="O31" s="57">
        <v>261630.04361035</v>
      </c>
      <c r="P31" s="58">
        <v>1.8187091194158818</v>
      </c>
      <c r="Q31" s="57">
        <v>6388.9779561374344</v>
      </c>
      <c r="R31" s="61">
        <v>13.615401925735666</v>
      </c>
    </row>
    <row r="32" spans="1:18" s="76" customFormat="1" ht="12.75" x14ac:dyDescent="0.2">
      <c r="A32" s="7" t="str">
        <f>VLOOKUP("&lt;Zeilentitel_18&gt;",Uebersetzungen!$B$3:$E$63,Uebersetzungen!$B$2+1,FALSE)</f>
        <v>Glarus</v>
      </c>
      <c r="B32" s="115">
        <v>34425.999999999935</v>
      </c>
      <c r="C32" s="29">
        <v>9677.3125135786013</v>
      </c>
      <c r="D32" s="30">
        <v>10.185896046524533</v>
      </c>
      <c r="E32" s="31">
        <v>10893.209716662635</v>
      </c>
      <c r="F32" s="30">
        <v>9.5794182933892156</v>
      </c>
      <c r="G32" s="36">
        <v>1552.1121041066469</v>
      </c>
      <c r="H32" s="37">
        <v>31.018046649606067</v>
      </c>
      <c r="I32" s="38" t="s">
        <v>1</v>
      </c>
      <c r="J32" s="30" t="s">
        <v>1</v>
      </c>
      <c r="K32" s="31">
        <v>2415.6581694433371</v>
      </c>
      <c r="L32" s="30">
        <v>25.66152037569363</v>
      </c>
      <c r="M32" s="34">
        <v>392.03110422511696</v>
      </c>
      <c r="N32" s="37">
        <v>61.738441212330109</v>
      </c>
      <c r="O32" s="29">
        <v>9270.9848766716386</v>
      </c>
      <c r="P32" s="30">
        <v>10.644226770509226</v>
      </c>
      <c r="Q32" s="38" t="s">
        <v>1</v>
      </c>
      <c r="R32" s="33" t="s">
        <v>1</v>
      </c>
    </row>
    <row r="33" spans="1:18" s="76" customFormat="1" ht="12.75" x14ac:dyDescent="0.2">
      <c r="A33" s="7" t="str">
        <f>VLOOKUP("&lt;Zeilentitel_19&gt;",Uebersetzungen!$B$3:$E$63,Uebersetzungen!$B$2+1,FALSE)</f>
        <v>Schaffhausen</v>
      </c>
      <c r="B33" s="115">
        <v>70500.999999999593</v>
      </c>
      <c r="C33" s="29">
        <v>22780.359435175593</v>
      </c>
      <c r="D33" s="30">
        <v>6.0600650741284845</v>
      </c>
      <c r="E33" s="31">
        <v>14631.706123335702</v>
      </c>
      <c r="F33" s="30">
        <v>8.4342198912969888</v>
      </c>
      <c r="G33" s="29">
        <v>5143.9134436930426</v>
      </c>
      <c r="H33" s="32">
        <v>15.711487766984439</v>
      </c>
      <c r="I33" s="38" t="s">
        <v>1</v>
      </c>
      <c r="J33" s="30" t="s">
        <v>1</v>
      </c>
      <c r="K33" s="31">
        <v>5448.2957905584917</v>
      </c>
      <c r="L33" s="30">
        <v>16.406559833109505</v>
      </c>
      <c r="M33" s="36">
        <v>1107.5189734485498</v>
      </c>
      <c r="N33" s="37">
        <v>35.397195485629403</v>
      </c>
      <c r="O33" s="29">
        <v>20932.802859619384</v>
      </c>
      <c r="P33" s="30">
        <v>6.7525209903839931</v>
      </c>
      <c r="Q33" s="34">
        <v>389.13591660304218</v>
      </c>
      <c r="R33" s="40">
        <v>58.483928125744967</v>
      </c>
    </row>
    <row r="34" spans="1:18" s="76" customFormat="1" ht="12.75" x14ac:dyDescent="0.2">
      <c r="A34" s="7" t="str">
        <f>VLOOKUP("&lt;Zeilentitel_20&gt;",Uebersetzungen!$B$3:$E$63,Uebersetzungen!$B$2+1,FALSE)</f>
        <v>Appenzell Ausserrhoden</v>
      </c>
      <c r="B34" s="115">
        <v>45964.99999999976</v>
      </c>
      <c r="C34" s="29">
        <v>15708.482659197147</v>
      </c>
      <c r="D34" s="30">
        <v>7.3029532357398423</v>
      </c>
      <c r="E34" s="31">
        <v>12175.687820087207</v>
      </c>
      <c r="F34" s="30">
        <v>8.7729603138042442</v>
      </c>
      <c r="G34" s="29">
        <v>2918.7026514082677</v>
      </c>
      <c r="H34" s="32">
        <v>20.550135919526419</v>
      </c>
      <c r="I34" s="38" t="s">
        <v>1</v>
      </c>
      <c r="J34" s="30" t="s">
        <v>1</v>
      </c>
      <c r="K34" s="39">
        <v>1409.3427464137831</v>
      </c>
      <c r="L34" s="35">
        <v>30.819747459665837</v>
      </c>
      <c r="M34" s="34">
        <v>608.06836159816805</v>
      </c>
      <c r="N34" s="37">
        <v>47.242569160565907</v>
      </c>
      <c r="O34" s="29">
        <v>12785.674622635021</v>
      </c>
      <c r="P34" s="30">
        <v>8.4659592029382527</v>
      </c>
      <c r="Q34" s="34">
        <v>290.42599795240807</v>
      </c>
      <c r="R34" s="40">
        <v>68.281354425688988</v>
      </c>
    </row>
    <row r="35" spans="1:18" s="76" customFormat="1" ht="12.75" x14ac:dyDescent="0.2">
      <c r="A35" s="7" t="str">
        <f>VLOOKUP("&lt;Zeilentitel_21&gt;",Uebersetzungen!$B$3:$E$63,Uebersetzungen!$B$2+1,FALSE)</f>
        <v>Appenzell Innerrhoden</v>
      </c>
      <c r="B35" s="115">
        <v>13485.000000000131</v>
      </c>
      <c r="C35" s="29">
        <v>1762.8687199155956</v>
      </c>
      <c r="D35" s="30">
        <v>25.585827309938626</v>
      </c>
      <c r="E35" s="31">
        <v>8940.5889549299318</v>
      </c>
      <c r="F35" s="30">
        <v>7.4105404104079939</v>
      </c>
      <c r="G35" s="34">
        <v>389.31816201229645</v>
      </c>
      <c r="H35" s="37">
        <v>58.101239693881787</v>
      </c>
      <c r="I35" s="38" t="s">
        <v>1</v>
      </c>
      <c r="J35" s="30" t="s">
        <v>1</v>
      </c>
      <c r="K35" s="41">
        <v>372.09925272540278</v>
      </c>
      <c r="L35" s="35">
        <v>64.84331940400763</v>
      </c>
      <c r="M35" s="34">
        <v>239.90373374879042</v>
      </c>
      <c r="N35" s="37">
        <v>79.213194922034461</v>
      </c>
      <c r="O35" s="36">
        <v>1712.8249264154044</v>
      </c>
      <c r="P35" s="35">
        <v>26.408090179188719</v>
      </c>
      <c r="Q35" s="38" t="s">
        <v>1</v>
      </c>
      <c r="R35" s="33" t="s">
        <v>1</v>
      </c>
    </row>
    <row r="36" spans="1:18" s="76" customFormat="1" ht="12.75" x14ac:dyDescent="0.2">
      <c r="A36" s="7" t="str">
        <f>VLOOKUP("&lt;Zeilentitel_22&gt;",Uebersetzungen!$B$3:$E$63,Uebersetzungen!$B$2+1,FALSE)</f>
        <v>St. Gallen</v>
      </c>
      <c r="B36" s="115">
        <v>431501.00000001112</v>
      </c>
      <c r="C36" s="29">
        <v>79737.947638324433</v>
      </c>
      <c r="D36" s="30">
        <v>3.6474019929576071</v>
      </c>
      <c r="E36" s="31">
        <v>173425.51068086017</v>
      </c>
      <c r="F36" s="30">
        <v>2.1376650002961437</v>
      </c>
      <c r="G36" s="29">
        <v>27974.879569488759</v>
      </c>
      <c r="H36" s="32">
        <v>6.9120407996930862</v>
      </c>
      <c r="I36" s="34">
        <v>442.61879312634744</v>
      </c>
      <c r="J36" s="35">
        <v>58.989305620763425</v>
      </c>
      <c r="K36" s="31">
        <v>33552.128958438741</v>
      </c>
      <c r="L36" s="30">
        <v>6.6144220146927335</v>
      </c>
      <c r="M36" s="29">
        <v>4676.280409418634</v>
      </c>
      <c r="N36" s="32">
        <v>17.006578167024504</v>
      </c>
      <c r="O36" s="29">
        <v>108573.09964765763</v>
      </c>
      <c r="P36" s="30">
        <v>3.064992577941823</v>
      </c>
      <c r="Q36" s="29">
        <v>3118.5343026964219</v>
      </c>
      <c r="R36" s="33">
        <v>20.952741251515903</v>
      </c>
    </row>
    <row r="37" spans="1:18" s="76" customFormat="1" ht="12.75" x14ac:dyDescent="0.2">
      <c r="A37" s="65" t="str">
        <f>VLOOKUP("&lt;Zeilentitel_23&gt;",Uebersetzungen!$B$3:$E$63,Uebersetzungen!$B$2+1,FALSE)</f>
        <v>Graubünden</v>
      </c>
      <c r="B37" s="118">
        <v>172107.99999999904</v>
      </c>
      <c r="C37" s="66">
        <v>50007.229486275239</v>
      </c>
      <c r="D37" s="67">
        <v>4.175726373225217</v>
      </c>
      <c r="E37" s="68">
        <v>67461.970452510301</v>
      </c>
      <c r="F37" s="67">
        <v>3.3994307329703752</v>
      </c>
      <c r="G37" s="66">
        <v>6306.0030892576742</v>
      </c>
      <c r="H37" s="69">
        <v>14.123807330769464</v>
      </c>
      <c r="I37" s="70" t="s">
        <v>1</v>
      </c>
      <c r="J37" s="67" t="s">
        <v>1</v>
      </c>
      <c r="K37" s="68">
        <v>4249.7417852081999</v>
      </c>
      <c r="L37" s="67">
        <v>18.211401779976075</v>
      </c>
      <c r="M37" s="71">
        <v>1406.4356813851255</v>
      </c>
      <c r="N37" s="72">
        <v>30.705170866715051</v>
      </c>
      <c r="O37" s="66">
        <v>41789.938320748995</v>
      </c>
      <c r="P37" s="67">
        <v>4.8024693915990522</v>
      </c>
      <c r="Q37" s="73">
        <v>854.50875107792251</v>
      </c>
      <c r="R37" s="74">
        <v>38.726333046774883</v>
      </c>
    </row>
    <row r="38" spans="1:18" s="76" customFormat="1" ht="12.75" x14ac:dyDescent="0.2">
      <c r="A38" s="7" t="str">
        <f>VLOOKUP("&lt;Zeilentitel_24&gt;",Uebersetzungen!$B$3:$E$63,Uebersetzungen!$B$2+1,FALSE)</f>
        <v>Thurgau</v>
      </c>
      <c r="B38" s="115">
        <v>238116.00000000215</v>
      </c>
      <c r="C38" s="29">
        <v>69029.956540638726</v>
      </c>
      <c r="D38" s="30">
        <v>2.5524041666009989</v>
      </c>
      <c r="E38" s="31">
        <v>67886.639669893921</v>
      </c>
      <c r="F38" s="30">
        <v>2.6212747871411954</v>
      </c>
      <c r="G38" s="29">
        <v>14999.971324350036</v>
      </c>
      <c r="H38" s="32">
        <v>6.4825780468462151</v>
      </c>
      <c r="I38" s="34">
        <v>209.93502476187896</v>
      </c>
      <c r="J38" s="35">
        <v>55.169303138616286</v>
      </c>
      <c r="K38" s="31">
        <v>15832.735311136026</v>
      </c>
      <c r="L38" s="30">
        <v>6.6633550658515679</v>
      </c>
      <c r="M38" s="29">
        <v>2039.7198997261553</v>
      </c>
      <c r="N38" s="32">
        <v>18.21941689595047</v>
      </c>
      <c r="O38" s="29">
        <v>66564.718356601967</v>
      </c>
      <c r="P38" s="30">
        <v>2.683807198467647</v>
      </c>
      <c r="Q38" s="29">
        <v>1552.3238728934029</v>
      </c>
      <c r="R38" s="33">
        <v>20.744931973685617</v>
      </c>
    </row>
    <row r="39" spans="1:18" s="76" customFormat="1" ht="12.75" x14ac:dyDescent="0.2">
      <c r="A39" s="56" t="str">
        <f>VLOOKUP("&lt;Zeilentitel_25&gt;",Uebersetzungen!$B$3:$E$63,Uebersetzungen!$B$2+1,FALSE)</f>
        <v>Zentralschweiz</v>
      </c>
      <c r="B39" s="116">
        <v>694068.99999999849</v>
      </c>
      <c r="C39" s="57">
        <v>67069.84709360548</v>
      </c>
      <c r="D39" s="58">
        <v>3.3383358997763457</v>
      </c>
      <c r="E39" s="59">
        <v>382283.71260958118</v>
      </c>
      <c r="F39" s="58">
        <v>0.99599631104826536</v>
      </c>
      <c r="G39" s="57">
        <v>30189.743230633543</v>
      </c>
      <c r="H39" s="60">
        <v>5.2853412297827242</v>
      </c>
      <c r="I39" s="64">
        <v>827.42147408711855</v>
      </c>
      <c r="J39" s="63">
        <v>33.2067202385673</v>
      </c>
      <c r="K39" s="59">
        <v>29225.764440923267</v>
      </c>
      <c r="L39" s="58">
        <v>5.6945005294742375</v>
      </c>
      <c r="M39" s="57">
        <v>7366.3143319363544</v>
      </c>
      <c r="N39" s="60">
        <v>10.955295994655541</v>
      </c>
      <c r="O39" s="57">
        <v>173158.69781607014</v>
      </c>
      <c r="P39" s="58">
        <v>1.9430992513033427</v>
      </c>
      <c r="Q39" s="57">
        <v>3947.4990031613142</v>
      </c>
      <c r="R39" s="61">
        <v>14.592132704952546</v>
      </c>
    </row>
    <row r="40" spans="1:18" s="76" customFormat="1" ht="12.75" x14ac:dyDescent="0.2">
      <c r="A40" s="7" t="str">
        <f>VLOOKUP("&lt;Zeilentitel_26&gt;",Uebersetzungen!$B$3:$E$63,Uebersetzungen!$B$2+1,FALSE)</f>
        <v>Luzern</v>
      </c>
      <c r="B40" s="115">
        <v>348185.99999999802</v>
      </c>
      <c r="C40" s="29">
        <v>32644.906759890597</v>
      </c>
      <c r="D40" s="30">
        <v>4.2067129655951101</v>
      </c>
      <c r="E40" s="31">
        <v>191496.87277697088</v>
      </c>
      <c r="F40" s="30">
        <v>1.2280946439642877</v>
      </c>
      <c r="G40" s="29">
        <v>15875.679202632244</v>
      </c>
      <c r="H40" s="32">
        <v>6.5367380489049243</v>
      </c>
      <c r="I40" s="34">
        <v>276.47836600618655</v>
      </c>
      <c r="J40" s="35">
        <v>51.954248127626308</v>
      </c>
      <c r="K40" s="31">
        <v>16972.130210051364</v>
      </c>
      <c r="L40" s="30">
        <v>6.6510553806147916</v>
      </c>
      <c r="M40" s="29">
        <v>3843.7373175014486</v>
      </c>
      <c r="N40" s="32">
        <v>13.554275696592011</v>
      </c>
      <c r="O40" s="29">
        <v>85171.834181916696</v>
      </c>
      <c r="P40" s="30">
        <v>2.4329082514860461</v>
      </c>
      <c r="Q40" s="29">
        <v>1904.3611850285454</v>
      </c>
      <c r="R40" s="33">
        <v>18.453918653949412</v>
      </c>
    </row>
    <row r="41" spans="1:18" s="76" customFormat="1" ht="12.75" x14ac:dyDescent="0.2">
      <c r="A41" s="7" t="str">
        <f>VLOOKUP("&lt;Zeilentitel_27&gt;",Uebersetzungen!$B$3:$E$63,Uebersetzungen!$B$2+1,FALSE)</f>
        <v>Uri</v>
      </c>
      <c r="B41" s="115">
        <v>30800.000000000073</v>
      </c>
      <c r="C41" s="34">
        <v>908.303539277867</v>
      </c>
      <c r="D41" s="35">
        <v>36.146699319203805</v>
      </c>
      <c r="E41" s="31">
        <v>22306.702656310721</v>
      </c>
      <c r="F41" s="30">
        <v>3.9572029564023334</v>
      </c>
      <c r="G41" s="34">
        <v>907.81601930753163</v>
      </c>
      <c r="H41" s="37">
        <v>39.81259741459538</v>
      </c>
      <c r="I41" s="29" t="s">
        <v>1</v>
      </c>
      <c r="J41" s="30" t="s">
        <v>1</v>
      </c>
      <c r="K41" s="41">
        <v>805.28732065205861</v>
      </c>
      <c r="L41" s="35">
        <v>41.526745773241032</v>
      </c>
      <c r="M41" s="34">
        <v>276.01347461422</v>
      </c>
      <c r="N41" s="37">
        <v>68.655485286720975</v>
      </c>
      <c r="O41" s="29">
        <v>5452.0713801887168</v>
      </c>
      <c r="P41" s="30">
        <v>14.065728453766779</v>
      </c>
      <c r="Q41" s="38" t="s">
        <v>1</v>
      </c>
      <c r="R41" s="33" t="s">
        <v>1</v>
      </c>
    </row>
    <row r="42" spans="1:18" s="76" customFormat="1" ht="12.75" x14ac:dyDescent="0.2">
      <c r="A42" s="7" t="str">
        <f>VLOOKUP("&lt;Zeilentitel_28&gt;",Uebersetzungen!$B$3:$E$63,Uebersetzungen!$B$2+1,FALSE)</f>
        <v>Schwyz</v>
      </c>
      <c r="B42" s="115">
        <v>137630.00000000049</v>
      </c>
      <c r="C42" s="29">
        <v>14539.179212782481</v>
      </c>
      <c r="D42" s="30">
        <v>8.8650888791349516</v>
      </c>
      <c r="E42" s="31">
        <v>75194.055081669372</v>
      </c>
      <c r="F42" s="30">
        <v>2.8069085335062272</v>
      </c>
      <c r="G42" s="29">
        <v>5649.4745653290474</v>
      </c>
      <c r="H42" s="32">
        <v>15.266474125234453</v>
      </c>
      <c r="I42" s="34">
        <v>183.33471780581061</v>
      </c>
      <c r="J42" s="35">
        <v>86.695442695864713</v>
      </c>
      <c r="K42" s="31">
        <v>5450.7725759256182</v>
      </c>
      <c r="L42" s="30">
        <v>16.763333378600919</v>
      </c>
      <c r="M42" s="36">
        <v>1312.8122051151418</v>
      </c>
      <c r="N42" s="37">
        <v>31.95488564405694</v>
      </c>
      <c r="O42" s="29">
        <v>34794.940765747306</v>
      </c>
      <c r="P42" s="30">
        <v>5.2929898005165192</v>
      </c>
      <c r="Q42" s="34">
        <v>505.43087562571924</v>
      </c>
      <c r="R42" s="40">
        <v>49.871904784958502</v>
      </c>
    </row>
    <row r="43" spans="1:18" s="76" customFormat="1" ht="12.75" x14ac:dyDescent="0.2">
      <c r="A43" s="7" t="str">
        <f>VLOOKUP("&lt;Zeilentitel_29&gt;",Uebersetzungen!$B$3:$E$63,Uebersetzungen!$B$2+1,FALSE)</f>
        <v>Obwalden</v>
      </c>
      <c r="B43" s="115">
        <v>32108.999999999876</v>
      </c>
      <c r="C43" s="29">
        <v>2425.7268753888907</v>
      </c>
      <c r="D43" s="30">
        <v>21.669550558328325</v>
      </c>
      <c r="E43" s="31">
        <v>21138.836286084257</v>
      </c>
      <c r="F43" s="30">
        <v>4.5886386763223426</v>
      </c>
      <c r="G43" s="34">
        <v>664.66053956827193</v>
      </c>
      <c r="H43" s="37">
        <v>47.870720314770736</v>
      </c>
      <c r="I43" s="38" t="s">
        <v>1</v>
      </c>
      <c r="J43" s="30" t="s">
        <v>1</v>
      </c>
      <c r="K43" s="39">
        <v>1033.4998187269271</v>
      </c>
      <c r="L43" s="35">
        <v>37.162629318889735</v>
      </c>
      <c r="M43" s="34">
        <v>209.00724150184712</v>
      </c>
      <c r="N43" s="37">
        <v>87.275103077755119</v>
      </c>
      <c r="O43" s="29">
        <v>6432.8969512954545</v>
      </c>
      <c r="P43" s="30">
        <v>12.94175595943695</v>
      </c>
      <c r="Q43" s="34">
        <v>169.0797887725985</v>
      </c>
      <c r="R43" s="40">
        <v>86.70463392090295</v>
      </c>
    </row>
    <row r="44" spans="1:18" s="76" customFormat="1" ht="12.75" x14ac:dyDescent="0.2">
      <c r="A44" s="7" t="str">
        <f>VLOOKUP("&lt;Zeilentitel_30&gt;",Uebersetzungen!$B$3:$E$63,Uebersetzungen!$B$2+1,FALSE)</f>
        <v>Nidwalden</v>
      </c>
      <c r="B44" s="115">
        <v>37389.000000000029</v>
      </c>
      <c r="C44" s="29">
        <v>3222.1289448312536</v>
      </c>
      <c r="D44" s="30">
        <v>18.833913067636097</v>
      </c>
      <c r="E44" s="31">
        <v>23337.242336017716</v>
      </c>
      <c r="F44" s="30">
        <v>4.5707701851782865</v>
      </c>
      <c r="G44" s="34">
        <v>828.28976871451994</v>
      </c>
      <c r="H44" s="37">
        <v>38.506145948014591</v>
      </c>
      <c r="I44" s="38" t="s">
        <v>1</v>
      </c>
      <c r="J44" s="30" t="s">
        <v>1</v>
      </c>
      <c r="K44" s="41">
        <v>751.11098089159304</v>
      </c>
      <c r="L44" s="35">
        <v>43.454789935069499</v>
      </c>
      <c r="M44" s="38" t="s">
        <v>1</v>
      </c>
      <c r="N44" s="32" t="s">
        <v>1</v>
      </c>
      <c r="O44" s="29">
        <v>8687.3899803970398</v>
      </c>
      <c r="P44" s="30">
        <v>10.867023059173645</v>
      </c>
      <c r="Q44" s="34">
        <v>345.3227054875145</v>
      </c>
      <c r="R44" s="40">
        <v>61.259986049158165</v>
      </c>
    </row>
    <row r="45" spans="1:18" s="76" customFormat="1" ht="12.75" x14ac:dyDescent="0.2">
      <c r="A45" s="7" t="str">
        <f>VLOOKUP("&lt;Zeilentitel_31&gt;",Uebersetzungen!$B$3:$E$63,Uebersetzungen!$B$2+1,FALSE)</f>
        <v>Zug</v>
      </c>
      <c r="B45" s="115">
        <v>107954.99999999996</v>
      </c>
      <c r="C45" s="29">
        <v>13329.601761434385</v>
      </c>
      <c r="D45" s="30">
        <v>6.3375897118465856</v>
      </c>
      <c r="E45" s="31">
        <v>48810.003472528209</v>
      </c>
      <c r="F45" s="30">
        <v>2.6347551893566354</v>
      </c>
      <c r="G45" s="29">
        <v>6263.8231350819287</v>
      </c>
      <c r="H45" s="32">
        <v>9.9910928899183062</v>
      </c>
      <c r="I45" s="34">
        <v>270.21450264475152</v>
      </c>
      <c r="J45" s="35">
        <v>49.320849597328298</v>
      </c>
      <c r="K45" s="31">
        <v>4212.9635346757059</v>
      </c>
      <c r="L45" s="30">
        <v>12.886332881146664</v>
      </c>
      <c r="M45" s="29">
        <v>1569.3301985120468</v>
      </c>
      <c r="N45" s="32">
        <v>21.296083626120982</v>
      </c>
      <c r="O45" s="29">
        <v>32619.564556524925</v>
      </c>
      <c r="P45" s="30">
        <v>3.7077053687946893</v>
      </c>
      <c r="Q45" s="34">
        <v>879.49883859797956</v>
      </c>
      <c r="R45" s="40">
        <v>27.475653502141746</v>
      </c>
    </row>
    <row r="46" spans="1:18" s="76" customFormat="1" ht="13.5" thickBot="1" x14ac:dyDescent="0.25">
      <c r="A46" s="129" t="str">
        <f>VLOOKUP("&lt;Zeilentitel_32&gt;",Uebersetzungen!$B$3:$E$63,Uebersetzungen!$B$2+1,FALSE)</f>
        <v>Tessin</v>
      </c>
      <c r="B46" s="130">
        <v>301214.99999999622</v>
      </c>
      <c r="C46" s="131">
        <v>10522.67555531638</v>
      </c>
      <c r="D46" s="132">
        <v>7.6133419955444044</v>
      </c>
      <c r="E46" s="133">
        <v>182108.12582161551</v>
      </c>
      <c r="F46" s="132">
        <v>1.1756136372115837</v>
      </c>
      <c r="G46" s="131">
        <v>16535.392819264962</v>
      </c>
      <c r="H46" s="134">
        <v>6.235459576889963</v>
      </c>
      <c r="I46" s="135">
        <v>448.35130066926797</v>
      </c>
      <c r="J46" s="136">
        <v>38.24121945266635</v>
      </c>
      <c r="K46" s="133">
        <v>6495.7789503775157</v>
      </c>
      <c r="L46" s="132">
        <v>10.267217835069081</v>
      </c>
      <c r="M46" s="131">
        <v>1895.8147127370094</v>
      </c>
      <c r="N46" s="134">
        <v>18.506758628844068</v>
      </c>
      <c r="O46" s="131">
        <v>79333.585592207237</v>
      </c>
      <c r="P46" s="132">
        <v>2.4912756411741905</v>
      </c>
      <c r="Q46" s="131">
        <v>3875.2752478082884</v>
      </c>
      <c r="R46" s="137">
        <v>12.871120091079902</v>
      </c>
    </row>
    <row r="47" spans="1:18" s="76" customFormat="1" ht="12.75" x14ac:dyDescent="0.2">
      <c r="A47" s="8"/>
      <c r="B47" s="5"/>
      <c r="C47" s="9"/>
      <c r="D47" s="10"/>
      <c r="E47" s="10"/>
      <c r="F47" s="10"/>
      <c r="G47" s="11"/>
      <c r="H47" s="12"/>
      <c r="I47" s="11"/>
      <c r="J47" s="12"/>
      <c r="K47" s="11"/>
      <c r="L47" s="12"/>
      <c r="M47" s="11"/>
      <c r="N47" s="12"/>
      <c r="O47" s="11"/>
      <c r="P47" s="12"/>
      <c r="Q47" s="11"/>
      <c r="R47" s="12"/>
    </row>
    <row r="48" spans="1:18" s="76" customFormat="1" ht="12.75" x14ac:dyDescent="0.2">
      <c r="A48" s="16" t="str">
        <f>VLOOKUP("&lt;Legende_1&gt;",Uebersetzungen!$B$3:$E$63,Uebersetzungen!$B$2+1,FALSE)</f>
        <v xml:space="preserve">Ab 2010 stammen die Daten aus einer Stichprobenerhebung der ständigen Wohnbevölkerung ab vollendetem 15. Altersjahr, die in Privathaushalten lebt. </v>
      </c>
      <c r="B48" s="5"/>
      <c r="C48" s="9"/>
      <c r="D48" s="10"/>
      <c r="E48" s="10"/>
      <c r="F48" s="10"/>
      <c r="G48" s="11"/>
      <c r="H48" s="12"/>
      <c r="I48" s="11"/>
      <c r="J48" s="12"/>
      <c r="K48" s="11"/>
      <c r="L48" s="12"/>
      <c r="M48" s="11"/>
      <c r="N48" s="12"/>
      <c r="O48" s="11"/>
      <c r="P48" s="12"/>
      <c r="Q48" s="11"/>
      <c r="R48" s="12"/>
    </row>
    <row r="49" spans="1:18" s="76" customFormat="1" ht="12.75" x14ac:dyDescent="0.2">
      <c r="A49" s="16" t="str">
        <f>VLOOKUP("&lt;Legende_2&gt;",Uebersetzungen!$B$3:$E$63,Uebersetzungen!$B$2+1,FALSE)</f>
        <v>Nicht befragt wurden Diplomaten, internationale Funktionäre und deren Familienangehörige. Diese Daten sind mit jenen der frühreren Jahre nicht direkt vergleichbar.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s="76" customFormat="1" ht="12.75" x14ac:dyDescent="0.2">
      <c r="A50" s="16" t="str">
        <f>VLOOKUP("&lt;Legende_3&gt;",Uebersetzungen!$B$3:$E$63,Uebersetzungen!$B$2+1,FALSE)</f>
        <v>Das Vertrauensintervall zeigt die Genauigkeit der Resultate einer Stichprobenerhebung.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1:18" s="76" customFormat="1" ht="12.75" x14ac:dyDescent="0.2">
      <c r="A51" s="16" t="str">
        <f>VLOOKUP("&lt;Legende_4&gt;",Uebersetzungen!$B$3:$E$63,Uebersetzungen!$B$2+1,FALSE)</f>
        <v>(): Extrapolation aufgrund von 49 oder weniger Beobachtungen. Die Resultate sind mit grosser Vorsicht zu interpretieren.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s="76" customFormat="1" ht="12.75" x14ac:dyDescent="0.2">
      <c r="A52" s="13" t="str">
        <f>VLOOKUP("&lt;Legende_5&gt;",Uebersetzungen!$B$3:$E$63,Uebersetzungen!$B$2+1,FALSE)</f>
        <v>X: Extrapolation aufgrund von 4 oder weniger Beobachtungen. Die Resultate werden aus Gründen des Datenschutzes nicht publiziert.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s="76" customFormat="1" ht="12.75" x14ac:dyDescent="0.2">
      <c r="A53" s="13" t="str">
        <f>VLOOKUP("&lt;Legende_6&gt;",Uebersetzungen!$B$3:$E$63,Uebersetzungen!$B$2+1,FALSE)</f>
        <v>* inkl. andere aus dem Islam hervorgegangene Gemeinschaften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 s="76" customFormat="1" ht="12.75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18" s="76" customFormat="1" ht="12.75" x14ac:dyDescent="0.2">
      <c r="A55" s="16" t="str">
        <f>VLOOKUP("&lt;quelle_1&gt;",Uebersetzungen!$B$3:$E$63,Uebersetzungen!$B$2+1,FALSE)</f>
        <v>Quelle: BFS (Strukturerhebung)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8" s="76" customFormat="1" ht="12.75" x14ac:dyDescent="0.2">
      <c r="A56" s="13" t="str">
        <f>VLOOKUP("&lt;aktualisierung&gt;",Uebersetzungen!$B$3:$E$213,Uebersetzungen!$B$2+1,FALSE)</f>
        <v>Letztmals aktualisiert am: 29.01.2026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</sheetData>
  <sheetProtection sheet="1" objects="1" scenarios="1"/>
  <mergeCells count="11">
    <mergeCell ref="A7:D7"/>
    <mergeCell ref="B12:R12"/>
    <mergeCell ref="Q13:R13"/>
    <mergeCell ref="I13:J13"/>
    <mergeCell ref="K13:L13"/>
    <mergeCell ref="M13:N13"/>
    <mergeCell ref="O13:P13"/>
    <mergeCell ref="B13:B14"/>
    <mergeCell ref="C13:D13"/>
    <mergeCell ref="E13:F13"/>
    <mergeCell ref="G13:H13"/>
  </mergeCells>
  <pageMargins left="0.7" right="0.7" top="0.75" bottom="0.75" header="0.3" footer="0.3"/>
  <pageSetup paperSize="9" orientation="portrait" r:id="rId1"/>
  <ignoredErrors>
    <ignoredError sqref="D14:E14 F14:G14 H14:I14 J14:K14 L14:M14 N14:O14 P14:Q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Option Button 10">
              <controlPr defaultSize="0" autoFill="0" autoLine="0" autoPict="0">
                <anchor moveWithCells="1">
                  <from>
                    <xdr:col>6</xdr:col>
                    <xdr:colOff>295275</xdr:colOff>
                    <xdr:row>1</xdr:row>
                    <xdr:rowOff>114300</xdr:rowOff>
                  </from>
                  <to>
                    <xdr:col>7</xdr:col>
                    <xdr:colOff>695325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Option Button 11">
              <controlPr defaultSize="0" autoFill="0" autoLine="0" autoPict="0">
                <anchor moveWithCells="1">
                  <from>
                    <xdr:col>6</xdr:col>
                    <xdr:colOff>295275</xdr:colOff>
                    <xdr:row>2</xdr:row>
                    <xdr:rowOff>104775</xdr:rowOff>
                  </from>
                  <to>
                    <xdr:col>8</xdr:col>
                    <xdr:colOff>276225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Option Button 12">
              <controlPr defaultSize="0" autoFill="0" autoLine="0" autoPict="0">
                <anchor moveWithCells="1">
                  <from>
                    <xdr:col>6</xdr:col>
                    <xdr:colOff>295275</xdr:colOff>
                    <xdr:row>3</xdr:row>
                    <xdr:rowOff>66675</xdr:rowOff>
                  </from>
                  <to>
                    <xdr:col>7</xdr:col>
                    <xdr:colOff>695325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6"/>
  <sheetViews>
    <sheetView showGridLines="0" workbookViewId="0"/>
  </sheetViews>
  <sheetFormatPr baseColWidth="10" defaultColWidth="9.140625" defaultRowHeight="14.25" x14ac:dyDescent="0.2"/>
  <cols>
    <col min="1" max="1" width="22.7109375" style="53" customWidth="1"/>
    <col min="2" max="2" width="9.140625" style="53" customWidth="1"/>
    <col min="3" max="18" width="12.42578125" style="53" customWidth="1"/>
    <col min="19" max="16384" width="9.140625" style="77"/>
  </cols>
  <sheetData>
    <row r="1" spans="1:18" s="75" customFormat="1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75" customFormat="1" ht="15.75" x14ac:dyDescent="0.25">
      <c r="A2" s="1"/>
      <c r="B2" s="15"/>
      <c r="C2" s="53"/>
      <c r="D2" s="5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75" customFormat="1" ht="15.75" x14ac:dyDescent="0.25">
      <c r="A3" s="1"/>
      <c r="B3" s="15"/>
      <c r="C3" s="53"/>
      <c r="D3" s="5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s="75" customFormat="1" ht="15.75" x14ac:dyDescent="0.25">
      <c r="A4" s="1"/>
      <c r="B4" s="15"/>
      <c r="C4" s="53"/>
      <c r="D4" s="5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75" customFormat="1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s="75" customFormat="1" ht="12.7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s="75" customFormat="1" ht="15.75" customHeight="1" x14ac:dyDescent="0.2">
      <c r="A7" s="146" t="str">
        <f>VLOOKUP("&lt;Fachbereich&gt;",Uebersetzungen!$B$3:$E$63,Uebersetzungen!$B$2+1,FALSE)</f>
        <v>Daten &amp; Statistik</v>
      </c>
      <c r="B7" s="146"/>
      <c r="C7" s="146"/>
      <c r="D7" s="146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</row>
    <row r="8" spans="1:18" s="75" customFormat="1" ht="12.7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s="76" customFormat="1" ht="18" x14ac:dyDescent="0.2">
      <c r="A9" s="19" t="str">
        <f>VLOOKUP("&lt;Titel&gt;",Uebersetzungen!$B$3:$E$63,Uebersetzungen!$B$2+1,FALSE)</f>
        <v>Religionszugehörigkeit nach Kanton</v>
      </c>
      <c r="B9" s="54"/>
      <c r="C9" s="55"/>
      <c r="D9" s="55"/>
      <c r="E9" s="55"/>
      <c r="F9" s="55"/>
      <c r="G9" s="55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s="76" customFormat="1" ht="12.75" x14ac:dyDescent="0.2">
      <c r="A10" s="20" t="str">
        <f>VLOOKUP("&lt;UTitel&gt;",Uebersetzungen!$B$3:$E$63,Uebersetzungen!$B$2+1,FALSE)</f>
        <v>Ständige Wohnbevölkerung ab 15 Jahren</v>
      </c>
      <c r="B10" s="54"/>
      <c r="C10" s="55"/>
      <c r="D10" s="55"/>
      <c r="E10" s="55"/>
      <c r="F10" s="55"/>
      <c r="G10" s="5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8.75" thickBot="1" x14ac:dyDescent="0.3">
      <c r="B11" s="17"/>
      <c r="C11" s="18"/>
      <c r="D11" s="4"/>
      <c r="E11" s="4"/>
      <c r="F11" s="4"/>
      <c r="G11" s="4"/>
      <c r="H11" s="4"/>
      <c r="I11" s="4"/>
      <c r="J11" s="4"/>
    </row>
    <row r="12" spans="1:18" s="78" customFormat="1" ht="18" x14ac:dyDescent="0.25">
      <c r="A12" s="3"/>
      <c r="B12" s="158">
        <v>2020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60"/>
    </row>
    <row r="13" spans="1:18" s="78" customFormat="1" ht="37.5" customHeight="1" x14ac:dyDescent="0.25">
      <c r="A13" s="3"/>
      <c r="B13" s="157" t="str">
        <f>VLOOKUP("&lt;SpaltenTitel_1&gt;",Uebersetzungen!$B$3:$E$63,Uebersetzungen!$B$2+1,FALSE)</f>
        <v>Total</v>
      </c>
      <c r="C13" s="152" t="str">
        <f>VLOOKUP("&lt;SpaltenTitel_2&gt;",Uebersetzungen!$B$3:$E$63,Uebersetzungen!$B$2+1,FALSE)</f>
        <v>Evangelisch-reformiert</v>
      </c>
      <c r="D13" s="152"/>
      <c r="E13" s="152" t="str">
        <f>VLOOKUP("&lt;SpaltenTitel_3&gt;",Uebersetzungen!$B$3:$E$63,Uebersetzungen!$B$2+1,FALSE)</f>
        <v>Römisch-katholisch</v>
      </c>
      <c r="F13" s="152"/>
      <c r="G13" s="152" t="str">
        <f>VLOOKUP("&lt;SpaltenTitel_4&gt;",Uebersetzungen!$B$3:$E$63,Uebersetzungen!$B$2+1,FALSE)</f>
        <v>Andere christliche Glaubensgemeinschaften</v>
      </c>
      <c r="H13" s="152"/>
      <c r="I13" s="152" t="str">
        <f>VLOOKUP("&lt;SpaltenTitel_5&gt;",Uebersetzungen!$B$3:$E$63,Uebersetzungen!$B$2+1,FALSE)</f>
        <v>Jüdische Glaubensgemeinschaften</v>
      </c>
      <c r="J13" s="152"/>
      <c r="K13" s="152" t="str">
        <f>VLOOKUP("&lt;SpaltenTitel_6&gt;",Uebersetzungen!$B$3:$E$63,Uebersetzungen!$B$2+1,FALSE)</f>
        <v>Islamische Glaubensgem.*</v>
      </c>
      <c r="L13" s="152"/>
      <c r="M13" s="152" t="str">
        <f>VLOOKUP("&lt;SpaltenTitel_7&gt;",Uebersetzungen!$B$3:$E$63,Uebersetzungen!$B$2+1,FALSE)</f>
        <v>Andere Religionsgemeinschaften</v>
      </c>
      <c r="N13" s="152"/>
      <c r="O13" s="152" t="str">
        <f>VLOOKUP("&lt;SpaltenTitel_8&gt;",Uebersetzungen!$B$3:$E$63,Uebersetzungen!$B$2+1,FALSE)</f>
        <v>Ohne Religionszugehörigkeit</v>
      </c>
      <c r="P13" s="152"/>
      <c r="Q13" s="152" t="str">
        <f>VLOOKUP("&lt;SpaltenTitel_9&gt;",Uebersetzungen!$B$3:$E$63,Uebersetzungen!$B$2+1,FALSE)</f>
        <v>Religionszugehörigkeit unbekannt</v>
      </c>
      <c r="R13" s="153"/>
    </row>
    <row r="14" spans="1:18" s="78" customFormat="1" ht="39" thickBot="1" x14ac:dyDescent="0.3">
      <c r="A14" s="6"/>
      <c r="B14" s="151"/>
      <c r="C14" s="112" t="str">
        <f>VLOOKUP("&lt;SpaltenTitel_2.1&gt;",Uebersetzungen!$B$3:$E$63,Uebersetzungen!$B$2+1,FALSE)</f>
        <v>Anzahl Personen</v>
      </c>
      <c r="D14" s="112" t="str">
        <f>VLOOKUP("&lt;SpaltenTitel_2.2&gt;",Uebersetzungen!$B$3:$E$63,Uebersetzungen!$B$2+1,FALSE)</f>
        <v>Vertrauens- intervall:          ± (in %)</v>
      </c>
      <c r="E14" s="112" t="str">
        <f>VLOOKUP("&lt;SpaltenTitel_2.1&gt;",Uebersetzungen!$B$3:$E$63,Uebersetzungen!$B$2+1,FALSE)</f>
        <v>Anzahl Personen</v>
      </c>
      <c r="F14" s="112" t="str">
        <f>VLOOKUP("&lt;SpaltenTitel_2.2&gt;",Uebersetzungen!$B$3:$E$63,Uebersetzungen!$B$2+1,FALSE)</f>
        <v>Vertrauens- intervall:          ± (in %)</v>
      </c>
      <c r="G14" s="112" t="str">
        <f>VLOOKUP("&lt;SpaltenTitel_2.1&gt;",Uebersetzungen!$B$3:$E$63,Uebersetzungen!$B$2+1,FALSE)</f>
        <v>Anzahl Personen</v>
      </c>
      <c r="H14" s="112" t="str">
        <f>VLOOKUP("&lt;SpaltenTitel_2.2&gt;",Uebersetzungen!$B$3:$E$63,Uebersetzungen!$B$2+1,FALSE)</f>
        <v>Vertrauens- intervall:          ± (in %)</v>
      </c>
      <c r="I14" s="112" t="str">
        <f>VLOOKUP("&lt;SpaltenTitel_2.1&gt;",Uebersetzungen!$B$3:$E$63,Uebersetzungen!$B$2+1,FALSE)</f>
        <v>Anzahl Personen</v>
      </c>
      <c r="J14" s="112" t="str">
        <f>VLOOKUP("&lt;SpaltenTitel_2.2&gt;",Uebersetzungen!$B$3:$E$63,Uebersetzungen!$B$2+1,FALSE)</f>
        <v>Vertrauens- intervall:          ± (in %)</v>
      </c>
      <c r="K14" s="112" t="str">
        <f>VLOOKUP("&lt;SpaltenTitel_2.1&gt;",Uebersetzungen!$B$3:$E$63,Uebersetzungen!$B$2+1,FALSE)</f>
        <v>Anzahl Personen</v>
      </c>
      <c r="L14" s="112" t="str">
        <f>VLOOKUP("&lt;SpaltenTitel_2.2&gt;",Uebersetzungen!$B$3:$E$63,Uebersetzungen!$B$2+1,FALSE)</f>
        <v>Vertrauens- intervall:          ± (in %)</v>
      </c>
      <c r="M14" s="112" t="str">
        <f>VLOOKUP("&lt;SpaltenTitel_2.1&gt;",Uebersetzungen!$B$3:$E$63,Uebersetzungen!$B$2+1,FALSE)</f>
        <v>Anzahl Personen</v>
      </c>
      <c r="N14" s="112" t="str">
        <f>VLOOKUP("&lt;SpaltenTitel_2.2&gt;",Uebersetzungen!$B$3:$E$63,Uebersetzungen!$B$2+1,FALSE)</f>
        <v>Vertrauens- intervall:          ± (in %)</v>
      </c>
      <c r="O14" s="112" t="str">
        <f>VLOOKUP("&lt;SpaltenTitel_2.1&gt;",Uebersetzungen!$B$3:$E$63,Uebersetzungen!$B$2+1,FALSE)</f>
        <v>Anzahl Personen</v>
      </c>
      <c r="P14" s="112" t="str">
        <f>VLOOKUP("&lt;SpaltenTitel_2.2&gt;",Uebersetzungen!$B$3:$E$63,Uebersetzungen!$B$2+1,FALSE)</f>
        <v>Vertrauens- intervall:          ± (in %)</v>
      </c>
      <c r="Q14" s="112" t="str">
        <f>VLOOKUP("&lt;SpaltenTitel_2.1&gt;",Uebersetzungen!$B$3:$E$63,Uebersetzungen!$B$2+1,FALSE)</f>
        <v>Anzahl Personen</v>
      </c>
      <c r="R14" s="113" t="str">
        <f>VLOOKUP("&lt;SpaltenTitel_2.2&gt;",Uebersetzungen!$B$3:$E$63,Uebersetzungen!$B$2+1,FALSE)</f>
        <v>Vertrauens- intervall:          ± (in %)</v>
      </c>
    </row>
    <row r="15" spans="1:18" s="76" customFormat="1" ht="12.75" x14ac:dyDescent="0.2">
      <c r="A15" s="14" t="str">
        <f>VLOOKUP("&lt;Zeilentitel_1&gt;",Uebersetzungen!$B$3:$E$63,Uebersetzungen!$B$2+1,FALSE)</f>
        <v>Total</v>
      </c>
      <c r="B15" s="28">
        <v>7187715.0000000121</v>
      </c>
      <c r="C15" s="108">
        <v>1567258.0620013524</v>
      </c>
      <c r="D15" s="119">
        <v>0.67611985660793616</v>
      </c>
      <c r="E15" s="120">
        <v>2425958.9179134527</v>
      </c>
      <c r="F15" s="119">
        <v>0.48555594809473435</v>
      </c>
      <c r="G15" s="109">
        <v>403546.01471741148</v>
      </c>
      <c r="H15" s="121">
        <v>1.5616942997424994</v>
      </c>
      <c r="I15" s="109">
        <v>16447.973763674891</v>
      </c>
      <c r="J15" s="119">
        <v>7.686279741363478</v>
      </c>
      <c r="K15" s="110">
        <v>389624.64150352532</v>
      </c>
      <c r="L15" s="119">
        <v>1.6739205284901324</v>
      </c>
      <c r="M15" s="109">
        <v>89802.708183890893</v>
      </c>
      <c r="N15" s="121">
        <v>3.430132800212065</v>
      </c>
      <c r="O15" s="108">
        <v>2219915.0839970326</v>
      </c>
      <c r="P15" s="119">
        <v>0.54960118960499904</v>
      </c>
      <c r="Q15" s="109">
        <v>75161.597919671913</v>
      </c>
      <c r="R15" s="122">
        <v>3.6304763709600065</v>
      </c>
    </row>
    <row r="16" spans="1:18" s="76" customFormat="1" ht="12.75" x14ac:dyDescent="0.2">
      <c r="A16" s="56" t="str">
        <f>VLOOKUP("&lt;Zeilentitel_2&gt;",Uebersetzungen!$B$3:$E$63,Uebersetzungen!$B$2+1,FALSE)</f>
        <v>Genferseeregion</v>
      </c>
      <c r="B16" s="114">
        <v>1346415.9999999995</v>
      </c>
      <c r="C16" s="57">
        <v>181742.98600164274</v>
      </c>
      <c r="D16" s="58">
        <v>1.6615900851572565</v>
      </c>
      <c r="E16" s="59">
        <v>496802.53080337122</v>
      </c>
      <c r="F16" s="58">
        <v>0.85568646326875353</v>
      </c>
      <c r="G16" s="57">
        <v>69697.58039535</v>
      </c>
      <c r="H16" s="60">
        <v>3.0315846421877009</v>
      </c>
      <c r="I16" s="57">
        <v>6802.9243461872629</v>
      </c>
      <c r="J16" s="58">
        <v>9.8109953364538338</v>
      </c>
      <c r="K16" s="59">
        <v>72436.112170173088</v>
      </c>
      <c r="L16" s="58">
        <v>3.084349419598166</v>
      </c>
      <c r="M16" s="57">
        <v>15340.739915073802</v>
      </c>
      <c r="N16" s="60">
        <v>6.6541838210816762</v>
      </c>
      <c r="O16" s="57">
        <v>482660.68192287337</v>
      </c>
      <c r="P16" s="58">
        <v>0.92635127917855176</v>
      </c>
      <c r="Q16" s="57">
        <v>20932.444445328063</v>
      </c>
      <c r="R16" s="61">
        <v>5.5461340617520412</v>
      </c>
    </row>
    <row r="17" spans="1:18" s="76" customFormat="1" ht="12.75" x14ac:dyDescent="0.2">
      <c r="A17" s="7" t="str">
        <f>VLOOKUP("&lt;Zeilentitel_3&gt;",Uebersetzungen!$B$3:$E$63,Uebersetzungen!$B$2+1,FALSE)</f>
        <v>Waadt</v>
      </c>
      <c r="B17" s="115">
        <v>665074.00000000268</v>
      </c>
      <c r="C17" s="29">
        <v>135299.9717287489</v>
      </c>
      <c r="D17" s="30">
        <v>1.8743024227643261</v>
      </c>
      <c r="E17" s="31">
        <v>183211.22607074594</v>
      </c>
      <c r="F17" s="30">
        <v>1.6026138898881299</v>
      </c>
      <c r="G17" s="29">
        <v>39646.283096975574</v>
      </c>
      <c r="H17" s="32">
        <v>3.9531619603377979</v>
      </c>
      <c r="I17" s="29">
        <v>2326.2159663920038</v>
      </c>
      <c r="J17" s="30">
        <v>16.503210565674348</v>
      </c>
      <c r="K17" s="31">
        <v>36094.223308706183</v>
      </c>
      <c r="L17" s="30">
        <v>4.3086936152310162</v>
      </c>
      <c r="M17" s="29">
        <v>8280.5521638704377</v>
      </c>
      <c r="N17" s="32">
        <v>8.974080894059945</v>
      </c>
      <c r="O17" s="29">
        <v>250704.97242357337</v>
      </c>
      <c r="P17" s="30">
        <v>1.2797636980778422</v>
      </c>
      <c r="Q17" s="29">
        <v>9510.5552409903412</v>
      </c>
      <c r="R17" s="33">
        <v>8.1630521834268244</v>
      </c>
    </row>
    <row r="18" spans="1:18" s="76" customFormat="1" ht="12.75" x14ac:dyDescent="0.2">
      <c r="A18" s="7" t="str">
        <f>VLOOKUP("&lt;Zeilentitel_4&gt;",Uebersetzungen!$B$3:$E$63,Uebersetzungen!$B$2+1,FALSE)</f>
        <v>Wallis</v>
      </c>
      <c r="B18" s="115">
        <v>291820.99999999691</v>
      </c>
      <c r="C18" s="29">
        <v>15291.705895281384</v>
      </c>
      <c r="D18" s="30">
        <v>6.1628531877288122</v>
      </c>
      <c r="E18" s="31">
        <v>196479.62690055955</v>
      </c>
      <c r="F18" s="30">
        <v>1.0065434246029776</v>
      </c>
      <c r="G18" s="29">
        <v>8593.3370543434994</v>
      </c>
      <c r="H18" s="32">
        <v>8.7301592975954723</v>
      </c>
      <c r="I18" s="34">
        <v>222.92872369144581</v>
      </c>
      <c r="J18" s="35">
        <v>55.176174509239388</v>
      </c>
      <c r="K18" s="31">
        <v>9842.2321811100774</v>
      </c>
      <c r="L18" s="30">
        <v>8.4506487898875466</v>
      </c>
      <c r="M18" s="36">
        <v>1936.1164784478235</v>
      </c>
      <c r="N18" s="37">
        <v>18.567777692623242</v>
      </c>
      <c r="O18" s="29">
        <v>56180.286803260722</v>
      </c>
      <c r="P18" s="30">
        <v>3.0757495815661953</v>
      </c>
      <c r="Q18" s="29">
        <v>3274.7659633023982</v>
      </c>
      <c r="R18" s="33">
        <v>13.842464033196752</v>
      </c>
    </row>
    <row r="19" spans="1:18" s="76" customFormat="1" ht="12.75" x14ac:dyDescent="0.2">
      <c r="A19" s="7" t="str">
        <f>VLOOKUP("&lt;Zeilentitel_5&gt;",Uebersetzungen!$B$3:$E$63,Uebersetzungen!$B$2+1,FALSE)</f>
        <v>Genf</v>
      </c>
      <c r="B19" s="115">
        <v>389520.99999999988</v>
      </c>
      <c r="C19" s="29">
        <v>31151.308377612451</v>
      </c>
      <c r="D19" s="30">
        <v>4.307164866141596</v>
      </c>
      <c r="E19" s="31">
        <v>117111.67783206578</v>
      </c>
      <c r="F19" s="30">
        <v>2.009702738640641</v>
      </c>
      <c r="G19" s="29">
        <v>21457.960244030917</v>
      </c>
      <c r="H19" s="32">
        <v>5.6026704247791379</v>
      </c>
      <c r="I19" s="29">
        <v>4253.7796561038122</v>
      </c>
      <c r="J19" s="30">
        <v>12.505101791353313</v>
      </c>
      <c r="K19" s="31">
        <v>26499.656680356817</v>
      </c>
      <c r="L19" s="30">
        <v>5.175768879901371</v>
      </c>
      <c r="M19" s="29">
        <v>5124.071272755541</v>
      </c>
      <c r="N19" s="32">
        <v>11.719131350697728</v>
      </c>
      <c r="O19" s="29">
        <v>175775.42269603923</v>
      </c>
      <c r="P19" s="30">
        <v>1.4738049224661902</v>
      </c>
      <c r="Q19" s="29">
        <v>8147.1232410353232</v>
      </c>
      <c r="R19" s="33">
        <v>9.0161586520942425</v>
      </c>
    </row>
    <row r="20" spans="1:18" s="76" customFormat="1" ht="12.75" x14ac:dyDescent="0.2">
      <c r="A20" s="56" t="str">
        <f>VLOOKUP("&lt;Zeilentitel_6&gt;",Uebersetzungen!$B$3:$E$63,Uebersetzungen!$B$2+1,FALSE)</f>
        <v>Espace Mittelland</v>
      </c>
      <c r="B20" s="114">
        <v>1580292.0000000054</v>
      </c>
      <c r="C20" s="57">
        <v>515549.11030459712</v>
      </c>
      <c r="D20" s="58">
        <v>1.1274385529373425</v>
      </c>
      <c r="E20" s="59">
        <v>415158.63485714706</v>
      </c>
      <c r="F20" s="58">
        <v>1.3241652675739619</v>
      </c>
      <c r="G20" s="57">
        <v>84700.26075069682</v>
      </c>
      <c r="H20" s="60">
        <v>3.6806133600902498</v>
      </c>
      <c r="I20" s="62">
        <v>1270.2628571279279</v>
      </c>
      <c r="J20" s="63">
        <v>28.848566890792927</v>
      </c>
      <c r="K20" s="59">
        <v>75825.993095010155</v>
      </c>
      <c r="L20" s="58">
        <v>4.1120532436823645</v>
      </c>
      <c r="M20" s="57">
        <v>19043.886465376076</v>
      </c>
      <c r="N20" s="60">
        <v>7.9172679085308539</v>
      </c>
      <c r="O20" s="57">
        <v>453186.01914502459</v>
      </c>
      <c r="P20" s="58">
        <v>1.3202470286841794</v>
      </c>
      <c r="Q20" s="57">
        <v>15557.832525025477</v>
      </c>
      <c r="R20" s="61">
        <v>8.7130336974898039</v>
      </c>
    </row>
    <row r="21" spans="1:18" s="76" customFormat="1" ht="12.75" x14ac:dyDescent="0.2">
      <c r="A21" s="7" t="str">
        <f>VLOOKUP("&lt;Zeilentitel_7&gt;",Uebersetzungen!$B$3:$E$63,Uebersetzungen!$B$2+1,FALSE)</f>
        <v>Bern</v>
      </c>
      <c r="B21" s="115">
        <v>872577.99999999395</v>
      </c>
      <c r="C21" s="29">
        <v>410949.52431691147</v>
      </c>
      <c r="D21" s="30">
        <v>1.2025188675325575</v>
      </c>
      <c r="E21" s="31">
        <v>127433.42676701851</v>
      </c>
      <c r="F21" s="30">
        <v>2.791133827429642</v>
      </c>
      <c r="G21" s="29">
        <v>53883.845784289893</v>
      </c>
      <c r="H21" s="32">
        <v>4.6418066364660779</v>
      </c>
      <c r="I21" s="34">
        <v>732.76201750206087</v>
      </c>
      <c r="J21" s="35">
        <v>38.214952109054259</v>
      </c>
      <c r="K21" s="31">
        <v>38303.293907000676</v>
      </c>
      <c r="L21" s="30">
        <v>5.7971663469165993</v>
      </c>
      <c r="M21" s="29">
        <v>11578.703176716248</v>
      </c>
      <c r="N21" s="32">
        <v>10.157558027026727</v>
      </c>
      <c r="O21" s="29">
        <v>221701.00240410765</v>
      </c>
      <c r="P21" s="30">
        <v>1.9817874701516225</v>
      </c>
      <c r="Q21" s="29">
        <v>7995.441626447383</v>
      </c>
      <c r="R21" s="33">
        <v>12.381441550163519</v>
      </c>
    </row>
    <row r="22" spans="1:18" s="76" customFormat="1" ht="12.75" x14ac:dyDescent="0.2">
      <c r="A22" s="7" t="str">
        <f>VLOOKUP("&lt;Zeilentitel_8&gt;",Uebersetzungen!$B$3:$E$63,Uebersetzungen!$B$2+1,FALSE)</f>
        <v>Freiburg</v>
      </c>
      <c r="B22" s="115">
        <v>266093.0000000085</v>
      </c>
      <c r="C22" s="29">
        <v>28807.609026126411</v>
      </c>
      <c r="D22" s="30">
        <v>6.0790922024761773</v>
      </c>
      <c r="E22" s="31">
        <v>149319.21372486936</v>
      </c>
      <c r="F22" s="30">
        <v>1.9006623446330411</v>
      </c>
      <c r="G22" s="29">
        <v>9448.0529940721626</v>
      </c>
      <c r="H22" s="32">
        <v>11.502419432199622</v>
      </c>
      <c r="I22" s="34" t="s">
        <v>1</v>
      </c>
      <c r="J22" s="35" t="s">
        <v>1</v>
      </c>
      <c r="K22" s="31">
        <v>11776.481193285925</v>
      </c>
      <c r="L22" s="30">
        <v>10.576637009212222</v>
      </c>
      <c r="M22" s="29">
        <v>2491.7867325769489</v>
      </c>
      <c r="N22" s="32">
        <v>22.482708256525903</v>
      </c>
      <c r="O22" s="29">
        <v>61487.0782127278</v>
      </c>
      <c r="P22" s="30">
        <v>3.9706614297511171</v>
      </c>
      <c r="Q22" s="29">
        <v>2626.7053401338508</v>
      </c>
      <c r="R22" s="33">
        <v>21.91025910113688</v>
      </c>
    </row>
    <row r="23" spans="1:18" s="76" customFormat="1" ht="12.75" x14ac:dyDescent="0.2">
      <c r="A23" s="7" t="str">
        <f>VLOOKUP("&lt;Zeilentitel_9&gt;",Uebersetzungen!$B$3:$E$63,Uebersetzungen!$B$2+1,FALSE)</f>
        <v>Solothurn</v>
      </c>
      <c r="B23" s="115">
        <v>233690.00000000256</v>
      </c>
      <c r="C23" s="29">
        <v>43716.989302303009</v>
      </c>
      <c r="D23" s="30">
        <v>4.7891516726617143</v>
      </c>
      <c r="E23" s="31">
        <v>70239.656519517375</v>
      </c>
      <c r="F23" s="30">
        <v>3.5577322003222416</v>
      </c>
      <c r="G23" s="29">
        <v>12217.998055612346</v>
      </c>
      <c r="H23" s="32">
        <v>10.372161842807829</v>
      </c>
      <c r="I23" s="38">
        <v>177.04137252455217</v>
      </c>
      <c r="J23" s="30">
        <v>87.661941085848952</v>
      </c>
      <c r="K23" s="31">
        <v>17647.489634165959</v>
      </c>
      <c r="L23" s="30">
        <v>9.0686687161529758</v>
      </c>
      <c r="M23" s="29">
        <v>3295.8060097296407</v>
      </c>
      <c r="N23" s="32">
        <v>20.173925548216573</v>
      </c>
      <c r="O23" s="29">
        <v>84458.470044323694</v>
      </c>
      <c r="P23" s="30">
        <v>3.1171042774607476</v>
      </c>
      <c r="Q23" s="29">
        <v>1936.5490618259507</v>
      </c>
      <c r="R23" s="33">
        <v>26.783378178964377</v>
      </c>
    </row>
    <row r="24" spans="1:18" s="76" customFormat="1" ht="12.75" x14ac:dyDescent="0.2">
      <c r="A24" s="7" t="str">
        <f>VLOOKUP("&lt;Zeilentitel_10&gt;",Uebersetzungen!$B$3:$E$63,Uebersetzungen!$B$2+1,FALSE)</f>
        <v>Neuenburg</v>
      </c>
      <c r="B24" s="115">
        <v>146426.00000000067</v>
      </c>
      <c r="C24" s="29">
        <v>26395.276476177911</v>
      </c>
      <c r="D24" s="30">
        <v>4.2873428246037939</v>
      </c>
      <c r="E24" s="31">
        <v>29412.113935200963</v>
      </c>
      <c r="F24" s="30">
        <v>4.0958365015340714</v>
      </c>
      <c r="G24" s="29">
        <v>7304.3372444886336</v>
      </c>
      <c r="H24" s="32">
        <v>9.0578605900624716</v>
      </c>
      <c r="I24" s="34">
        <v>224.38669088534186</v>
      </c>
      <c r="J24" s="35">
        <v>53.563191152109077</v>
      </c>
      <c r="K24" s="31">
        <v>6307.9944478689486</v>
      </c>
      <c r="L24" s="30">
        <v>10.296571870822964</v>
      </c>
      <c r="M24" s="29">
        <v>1292.3442277696306</v>
      </c>
      <c r="N24" s="32">
        <v>22.342240216903555</v>
      </c>
      <c r="O24" s="29">
        <v>73444.153587560781</v>
      </c>
      <c r="P24" s="30">
        <v>2.0868563408936591</v>
      </c>
      <c r="Q24" s="29">
        <v>2045.3933900484515</v>
      </c>
      <c r="R24" s="33">
        <v>17.346478913330696</v>
      </c>
    </row>
    <row r="25" spans="1:18" s="76" customFormat="1" ht="12.75" x14ac:dyDescent="0.2">
      <c r="A25" s="7" t="str">
        <f>VLOOKUP("&lt;Zeilentitel_11&gt;",Uebersetzungen!$B$3:$E$63,Uebersetzungen!$B$2+1,FALSE)</f>
        <v>Jura</v>
      </c>
      <c r="B25" s="115">
        <v>61504.999999999702</v>
      </c>
      <c r="C25" s="29">
        <v>5679.7111830783297</v>
      </c>
      <c r="D25" s="30">
        <v>14.011781294037471</v>
      </c>
      <c r="E25" s="31">
        <v>38754.223910540844</v>
      </c>
      <c r="F25" s="30">
        <v>3.4807986183800548</v>
      </c>
      <c r="G25" s="29">
        <v>1846.0266722337813</v>
      </c>
      <c r="H25" s="32">
        <v>26.431065702414305</v>
      </c>
      <c r="I25" s="38" t="s">
        <v>1</v>
      </c>
      <c r="J25" s="30" t="s">
        <v>1</v>
      </c>
      <c r="K25" s="39">
        <v>1790.7339126886525</v>
      </c>
      <c r="L25" s="35">
        <v>28.297972205230014</v>
      </c>
      <c r="M25" s="34">
        <v>385.24631858360829</v>
      </c>
      <c r="N25" s="37">
        <v>58.495084963940918</v>
      </c>
      <c r="O25" s="29">
        <v>12095.314896304642</v>
      </c>
      <c r="P25" s="30">
        <v>9.2570460756992183</v>
      </c>
      <c r="Q25" s="34">
        <v>953.74310656984153</v>
      </c>
      <c r="R25" s="40">
        <v>38.008583463319567</v>
      </c>
    </row>
    <row r="26" spans="1:18" s="76" customFormat="1" ht="12.75" x14ac:dyDescent="0.2">
      <c r="A26" s="56" t="str">
        <f>VLOOKUP("&lt;Zeilentitel_12&gt;",Uebersetzungen!$B$3:$E$63,Uebersetzungen!$B$2+1,FALSE)</f>
        <v>Nordwestschweiz</v>
      </c>
      <c r="B26" s="116">
        <v>987013.0000000149</v>
      </c>
      <c r="C26" s="57">
        <v>211978.60927039996</v>
      </c>
      <c r="D26" s="58">
        <v>1.7671744425336224</v>
      </c>
      <c r="E26" s="59">
        <v>255764.32975023703</v>
      </c>
      <c r="F26" s="58">
        <v>1.5543593976188057</v>
      </c>
      <c r="G26" s="57">
        <v>61125.189084676225</v>
      </c>
      <c r="H26" s="60">
        <v>3.6861243506267347</v>
      </c>
      <c r="I26" s="57">
        <v>1754.9821457713845</v>
      </c>
      <c r="J26" s="58">
        <v>25.408929533982441</v>
      </c>
      <c r="K26" s="59">
        <v>66342.826829898768</v>
      </c>
      <c r="L26" s="58">
        <v>3.7581948123768507</v>
      </c>
      <c r="M26" s="57">
        <v>15472.106645008529</v>
      </c>
      <c r="N26" s="60">
        <v>8.0397848128700904</v>
      </c>
      <c r="O26" s="57">
        <v>365298.76334380824</v>
      </c>
      <c r="P26" s="58">
        <v>1.2390885812186292</v>
      </c>
      <c r="Q26" s="57">
        <v>9276.1929302150002</v>
      </c>
      <c r="R26" s="61">
        <v>10.245377175839725</v>
      </c>
    </row>
    <row r="27" spans="1:18" s="76" customFormat="1" ht="12.75" x14ac:dyDescent="0.2">
      <c r="A27" s="7" t="str">
        <f>VLOOKUP("&lt;Zeilentitel_13&gt;",Uebersetzungen!$B$3:$E$63,Uebersetzungen!$B$2+1,FALSE)</f>
        <v>Basel-Stadt</v>
      </c>
      <c r="B27" s="115">
        <v>163030.00000000052</v>
      </c>
      <c r="C27" s="29">
        <v>22203.016956614949</v>
      </c>
      <c r="D27" s="30">
        <v>7.0057830621374935</v>
      </c>
      <c r="E27" s="31">
        <v>23939.519749851042</v>
      </c>
      <c r="F27" s="30">
        <v>6.7760809582865367</v>
      </c>
      <c r="G27" s="29">
        <v>9102.555921799305</v>
      </c>
      <c r="H27" s="32">
        <v>11.776175361736879</v>
      </c>
      <c r="I27" s="34">
        <v>905.8755741635141</v>
      </c>
      <c r="J27" s="35">
        <v>38.10564838230507</v>
      </c>
      <c r="K27" s="31">
        <v>13321.738534200005</v>
      </c>
      <c r="L27" s="30">
        <v>10.097385106843484</v>
      </c>
      <c r="M27" s="29">
        <v>3581.1552474201408</v>
      </c>
      <c r="N27" s="32">
        <v>19.735327980582746</v>
      </c>
      <c r="O27" s="29">
        <v>87871.022022454039</v>
      </c>
      <c r="P27" s="30">
        <v>2.6315979048644493</v>
      </c>
      <c r="Q27" s="29">
        <v>2105.1159934975203</v>
      </c>
      <c r="R27" s="33">
        <v>25.402432403877967</v>
      </c>
    </row>
    <row r="28" spans="1:18" s="76" customFormat="1" ht="12.75" x14ac:dyDescent="0.2">
      <c r="A28" s="7" t="str">
        <f>VLOOKUP("&lt;Zeilentitel_14&gt;",Uebersetzungen!$B$3:$E$63,Uebersetzungen!$B$2+1,FALSE)</f>
        <v>Basel-Landschaft</v>
      </c>
      <c r="B28" s="115">
        <v>244953.00000000259</v>
      </c>
      <c r="C28" s="29">
        <v>66660.590369441023</v>
      </c>
      <c r="D28" s="30">
        <v>3.6262975345350803</v>
      </c>
      <c r="E28" s="31">
        <v>59977.025725764339</v>
      </c>
      <c r="F28" s="30">
        <v>3.9677893708150722</v>
      </c>
      <c r="G28" s="29">
        <v>13138.647373059443</v>
      </c>
      <c r="H28" s="32">
        <v>9.5831326007884865</v>
      </c>
      <c r="I28" s="34">
        <v>361.31772433182243</v>
      </c>
      <c r="J28" s="35">
        <v>61.688696702973495</v>
      </c>
      <c r="K28" s="31">
        <v>12841.500758818625</v>
      </c>
      <c r="L28" s="30">
        <v>10.159612716859044</v>
      </c>
      <c r="M28" s="29">
        <v>4458.6290590002745</v>
      </c>
      <c r="N28" s="32">
        <v>16.882018698296903</v>
      </c>
      <c r="O28" s="29">
        <v>85180.779343365488</v>
      </c>
      <c r="P28" s="30">
        <v>3.1184428117481535</v>
      </c>
      <c r="Q28" s="29">
        <v>2334.5096462215961</v>
      </c>
      <c r="R28" s="33">
        <v>23.599310329007</v>
      </c>
    </row>
    <row r="29" spans="1:18" s="76" customFormat="1" ht="12.75" x14ac:dyDescent="0.2">
      <c r="A29" s="7" t="str">
        <f>VLOOKUP("&lt;Zeilentitel_15&gt;",Uebersetzungen!$B$3:$E$63,Uebersetzungen!$B$2+1,FALSE)</f>
        <v>Aargau</v>
      </c>
      <c r="B29" s="115">
        <v>579030.00000001187</v>
      </c>
      <c r="C29" s="29">
        <v>123115.00194434395</v>
      </c>
      <c r="D29" s="30">
        <v>1.9510536378435199</v>
      </c>
      <c r="E29" s="31">
        <v>171847.78427462166</v>
      </c>
      <c r="F29" s="30">
        <v>1.5946786162974946</v>
      </c>
      <c r="G29" s="29">
        <v>38883.985789817481</v>
      </c>
      <c r="H29" s="32">
        <v>3.9359827343382401</v>
      </c>
      <c r="I29" s="34">
        <v>487.78884727604799</v>
      </c>
      <c r="J29" s="35">
        <v>35.513940172395536</v>
      </c>
      <c r="K29" s="31">
        <v>40179.587536880135</v>
      </c>
      <c r="L29" s="30">
        <v>4.0933312137078062</v>
      </c>
      <c r="M29" s="29">
        <v>7432.3223385881147</v>
      </c>
      <c r="N29" s="32">
        <v>9.334145931212964</v>
      </c>
      <c r="O29" s="29">
        <v>192246.96197798866</v>
      </c>
      <c r="P29" s="30">
        <v>1.4790256404563347</v>
      </c>
      <c r="Q29" s="29">
        <v>4836.5672904958838</v>
      </c>
      <c r="R29" s="33">
        <v>11.581114596319237</v>
      </c>
    </row>
    <row r="30" spans="1:18" s="76" customFormat="1" ht="12.75" x14ac:dyDescent="0.2">
      <c r="A30" s="7" t="str">
        <f>VLOOKUP("&lt;Zeilentitel_16&gt;",Uebersetzungen!$B$3:$E$63,Uebersetzungen!$B$2+1,FALSE)</f>
        <v>Zürich</v>
      </c>
      <c r="B30" s="117">
        <v>1288448.9999999844</v>
      </c>
      <c r="C30" s="29">
        <v>328951.98043944023</v>
      </c>
      <c r="D30" s="30">
        <v>1.6658131124144493</v>
      </c>
      <c r="E30" s="31">
        <v>315406.46094815229</v>
      </c>
      <c r="F30" s="30">
        <v>1.7621490679143752</v>
      </c>
      <c r="G30" s="29">
        <v>82884.471821686748</v>
      </c>
      <c r="H30" s="32">
        <v>3.9000144828739756</v>
      </c>
      <c r="I30" s="29">
        <v>4860.9730032707021</v>
      </c>
      <c r="J30" s="30">
        <v>16.564852201925653</v>
      </c>
      <c r="K30" s="31">
        <v>83256.696670968682</v>
      </c>
      <c r="L30" s="30">
        <v>4.0711680039178679</v>
      </c>
      <c r="M30" s="29">
        <v>20105.113074606968</v>
      </c>
      <c r="N30" s="32">
        <v>8.0505035938787906</v>
      </c>
      <c r="O30" s="29">
        <v>441167.42391557753</v>
      </c>
      <c r="P30" s="30">
        <v>1.391039145949855</v>
      </c>
      <c r="Q30" s="29">
        <v>11815.88012628147</v>
      </c>
      <c r="R30" s="33">
        <v>10.786104996051026</v>
      </c>
    </row>
    <row r="31" spans="1:18" s="76" customFormat="1" ht="12.75" x14ac:dyDescent="0.2">
      <c r="A31" s="56" t="str">
        <f>VLOOKUP("&lt;Zeilentitel_17&gt;",Uebersetzungen!$B$3:$E$63,Uebersetzungen!$B$2+1,FALSE)</f>
        <v>Ostschweiz</v>
      </c>
      <c r="B31" s="114">
        <v>998057.00000000547</v>
      </c>
      <c r="C31" s="57">
        <v>249945.88805813238</v>
      </c>
      <c r="D31" s="58">
        <v>1.7772768320852859</v>
      </c>
      <c r="E31" s="59">
        <v>365860.7759490945</v>
      </c>
      <c r="F31" s="58">
        <v>1.392410526037041</v>
      </c>
      <c r="G31" s="57">
        <v>57986.039793308904</v>
      </c>
      <c r="H31" s="60">
        <v>4.3849030157823741</v>
      </c>
      <c r="I31" s="64">
        <v>750.02209908135694</v>
      </c>
      <c r="J31" s="63">
        <v>40.213892515288507</v>
      </c>
      <c r="K31" s="59">
        <v>57903.167617118364</v>
      </c>
      <c r="L31" s="58">
        <v>4.6168546316827133</v>
      </c>
      <c r="M31" s="57">
        <v>10618.96374485448</v>
      </c>
      <c r="N31" s="60">
        <v>10.699690042743738</v>
      </c>
      <c r="O31" s="57">
        <v>246259.11719471152</v>
      </c>
      <c r="P31" s="58">
        <v>1.8768732443396605</v>
      </c>
      <c r="Q31" s="57">
        <v>8733.0255437040178</v>
      </c>
      <c r="R31" s="61">
        <v>11.839249969239164</v>
      </c>
    </row>
    <row r="32" spans="1:18" s="76" customFormat="1" ht="12.75" x14ac:dyDescent="0.2">
      <c r="A32" s="7" t="str">
        <f>VLOOKUP("&lt;Zeilentitel_18&gt;",Uebersetzungen!$B$3:$E$63,Uebersetzungen!$B$2+1,FALSE)</f>
        <v>Glarus</v>
      </c>
      <c r="B32" s="115">
        <v>34154.000000000073</v>
      </c>
      <c r="C32" s="29">
        <v>9455.9280367296724</v>
      </c>
      <c r="D32" s="30">
        <v>10.116052103977568</v>
      </c>
      <c r="E32" s="31">
        <v>12123.966686835693</v>
      </c>
      <c r="F32" s="30">
        <v>8.6791712515860944</v>
      </c>
      <c r="G32" s="36">
        <v>1778.2770136020158</v>
      </c>
      <c r="H32" s="37">
        <v>27.446854611745536</v>
      </c>
      <c r="I32" s="38" t="s">
        <v>1</v>
      </c>
      <c r="J32" s="30" t="s">
        <v>1</v>
      </c>
      <c r="K32" s="31">
        <v>1835.8164923604343</v>
      </c>
      <c r="L32" s="30">
        <v>28.292200108334075</v>
      </c>
      <c r="M32" s="34">
        <v>537.77156575655511</v>
      </c>
      <c r="N32" s="37">
        <v>51.866784723110641</v>
      </c>
      <c r="O32" s="29">
        <v>8007.0804149954074</v>
      </c>
      <c r="P32" s="30">
        <v>11.630528346869237</v>
      </c>
      <c r="Q32" s="38">
        <v>415.15978972029876</v>
      </c>
      <c r="R32" s="33">
        <v>59.09317414413696</v>
      </c>
    </row>
    <row r="33" spans="1:18" s="76" customFormat="1" ht="12.75" x14ac:dyDescent="0.2">
      <c r="A33" s="7" t="str">
        <f>VLOOKUP("&lt;Zeilentitel_19&gt;",Uebersetzungen!$B$3:$E$63,Uebersetzungen!$B$2+1,FALSE)</f>
        <v>Schaffhausen</v>
      </c>
      <c r="B33" s="115">
        <v>69906.999999999869</v>
      </c>
      <c r="C33" s="29">
        <v>22798.211756715562</v>
      </c>
      <c r="D33" s="30">
        <v>6.1056135433498104</v>
      </c>
      <c r="E33" s="31">
        <v>13662.230305560253</v>
      </c>
      <c r="F33" s="30">
        <v>8.8154964741273112</v>
      </c>
      <c r="G33" s="29">
        <v>4876.5356796974702</v>
      </c>
      <c r="H33" s="32">
        <v>16.024409977987236</v>
      </c>
      <c r="I33" s="38" t="s">
        <v>1</v>
      </c>
      <c r="J33" s="30" t="s">
        <v>1</v>
      </c>
      <c r="K33" s="31">
        <v>4627.8298509185161</v>
      </c>
      <c r="L33" s="30">
        <v>17.343147619261689</v>
      </c>
      <c r="M33" s="36">
        <v>969.91217118066027</v>
      </c>
      <c r="N33" s="37">
        <v>37.988062543937978</v>
      </c>
      <c r="O33" s="29">
        <v>22131.447713832251</v>
      </c>
      <c r="P33" s="30">
        <v>6.3611389066740989</v>
      </c>
      <c r="Q33" s="34">
        <v>808.15166743720852</v>
      </c>
      <c r="R33" s="40">
        <v>41.398984171733105</v>
      </c>
    </row>
    <row r="34" spans="1:18" s="76" customFormat="1" ht="12.75" x14ac:dyDescent="0.2">
      <c r="A34" s="7" t="str">
        <f>VLOOKUP("&lt;Zeilentitel_20&gt;",Uebersetzungen!$B$3:$E$63,Uebersetzungen!$B$2+1,FALSE)</f>
        <v>Appenzell Ausserrhoden</v>
      </c>
      <c r="B34" s="115">
        <v>45829.000000000276</v>
      </c>
      <c r="C34" s="29">
        <v>15700.079048840997</v>
      </c>
      <c r="D34" s="30">
        <v>7.1715268550268272</v>
      </c>
      <c r="E34" s="31">
        <v>13170.567391580978</v>
      </c>
      <c r="F34" s="30">
        <v>8.2134150986057151</v>
      </c>
      <c r="G34" s="29">
        <v>3112.2811910428795</v>
      </c>
      <c r="H34" s="32">
        <v>19.768564899813335</v>
      </c>
      <c r="I34" s="38" t="s">
        <v>1</v>
      </c>
      <c r="J34" s="30" t="s">
        <v>1</v>
      </c>
      <c r="K34" s="39">
        <v>1047.8086135957237</v>
      </c>
      <c r="L34" s="35">
        <v>37.260722555352672</v>
      </c>
      <c r="M34" s="34">
        <v>420.7436514096633</v>
      </c>
      <c r="N34" s="37">
        <v>55.877950286229478</v>
      </c>
      <c r="O34" s="29">
        <v>11896.230974973769</v>
      </c>
      <c r="P34" s="30">
        <v>8.9643613123581165</v>
      </c>
      <c r="Q34" s="34">
        <v>481.2891285562722</v>
      </c>
      <c r="R34" s="40">
        <v>49.809738459082745</v>
      </c>
    </row>
    <row r="35" spans="1:18" s="76" customFormat="1" ht="12.75" x14ac:dyDescent="0.2">
      <c r="A35" s="7" t="str">
        <f>VLOOKUP("&lt;Zeilentitel_21&gt;",Uebersetzungen!$B$3:$E$63,Uebersetzungen!$B$2+1,FALSE)</f>
        <v>Appenzell Innerrhoden</v>
      </c>
      <c r="B35" s="115">
        <v>13427.999999999993</v>
      </c>
      <c r="C35" s="29">
        <v>1572.7315364328351</v>
      </c>
      <c r="D35" s="30">
        <v>26.20366636488631</v>
      </c>
      <c r="E35" s="31">
        <v>9049.4071550631252</v>
      </c>
      <c r="F35" s="30">
        <v>6.8996513711170309</v>
      </c>
      <c r="G35" s="34">
        <v>257.84089710593224</v>
      </c>
      <c r="H35" s="37">
        <v>70.211616093506692</v>
      </c>
      <c r="I35" s="38" t="s">
        <v>1</v>
      </c>
      <c r="J35" s="30" t="s">
        <v>1</v>
      </c>
      <c r="K35" s="41">
        <v>252.70069488616062</v>
      </c>
      <c r="L35" s="35">
        <v>79.950196057884796</v>
      </c>
      <c r="M35" s="34" t="s">
        <v>1</v>
      </c>
      <c r="N35" s="37" t="s">
        <v>1</v>
      </c>
      <c r="O35" s="36">
        <v>2076.5665269206625</v>
      </c>
      <c r="P35" s="35">
        <v>23.382317992253675</v>
      </c>
      <c r="Q35" s="38" t="s">
        <v>1</v>
      </c>
      <c r="R35" s="33" t="s">
        <v>1</v>
      </c>
    </row>
    <row r="36" spans="1:18" s="76" customFormat="1" ht="12.75" x14ac:dyDescent="0.2">
      <c r="A36" s="7" t="str">
        <f>VLOOKUP("&lt;Zeilentitel_22&gt;",Uebersetzungen!$B$3:$E$63,Uebersetzungen!$B$2+1,FALSE)</f>
        <v>St. Gallen</v>
      </c>
      <c r="B36" s="115">
        <v>427747.00000000419</v>
      </c>
      <c r="C36" s="29">
        <v>78940.016065491101</v>
      </c>
      <c r="D36" s="30">
        <v>3.5916891719860757</v>
      </c>
      <c r="E36" s="31">
        <v>179364.35637259588</v>
      </c>
      <c r="F36" s="30">
        <v>2.0381467650283573</v>
      </c>
      <c r="G36" s="29">
        <v>26696.108705897048</v>
      </c>
      <c r="H36" s="32">
        <v>6.9638205148847732</v>
      </c>
      <c r="I36" s="34">
        <v>334.9465084499713</v>
      </c>
      <c r="J36" s="35">
        <v>65.428051785731597</v>
      </c>
      <c r="K36" s="31">
        <v>31940.942200352023</v>
      </c>
      <c r="L36" s="30">
        <v>6.64371186168602</v>
      </c>
      <c r="M36" s="29">
        <v>4901.9797782816649</v>
      </c>
      <c r="N36" s="32">
        <v>16.466747703726018</v>
      </c>
      <c r="O36" s="29">
        <v>101686.93046309268</v>
      </c>
      <c r="P36" s="30">
        <v>3.1597935992889106</v>
      </c>
      <c r="Q36" s="29">
        <v>3881.7199058438691</v>
      </c>
      <c r="R36" s="33">
        <v>18.727231089299067</v>
      </c>
    </row>
    <row r="37" spans="1:18" s="76" customFormat="1" ht="12.75" x14ac:dyDescent="0.2">
      <c r="A37" s="65" t="str">
        <f>VLOOKUP("&lt;Zeilentitel_23&gt;",Uebersetzungen!$B$3:$E$63,Uebersetzungen!$B$2+1,FALSE)</f>
        <v>Graubünden</v>
      </c>
      <c r="B37" s="118">
        <v>171221.00000000052</v>
      </c>
      <c r="C37" s="66">
        <v>50247.033943576949</v>
      </c>
      <c r="D37" s="67">
        <v>4.1540507881424098</v>
      </c>
      <c r="E37" s="68">
        <v>69852.468773506596</v>
      </c>
      <c r="F37" s="67">
        <v>3.3145776786454233</v>
      </c>
      <c r="G37" s="66">
        <v>6638.0563330612567</v>
      </c>
      <c r="H37" s="69">
        <v>13.975819090589383</v>
      </c>
      <c r="I37" s="70">
        <v>186.81999533180038</v>
      </c>
      <c r="J37" s="67">
        <v>86.740605522516375</v>
      </c>
      <c r="K37" s="68">
        <v>3365.9304761881217</v>
      </c>
      <c r="L37" s="67">
        <v>20.84806045828909</v>
      </c>
      <c r="M37" s="71">
        <v>1438.1378377720646</v>
      </c>
      <c r="N37" s="72">
        <v>31.237013167313741</v>
      </c>
      <c r="O37" s="66">
        <v>38098.130145885021</v>
      </c>
      <c r="P37" s="67">
        <v>5.1537123971686274</v>
      </c>
      <c r="Q37" s="73">
        <v>1394.4224946787335</v>
      </c>
      <c r="R37" s="74">
        <v>31.433836233339164</v>
      </c>
    </row>
    <row r="38" spans="1:18" s="76" customFormat="1" ht="12.75" x14ac:dyDescent="0.2">
      <c r="A38" s="7" t="str">
        <f>VLOOKUP("&lt;Zeilentitel_24&gt;",Uebersetzungen!$B$3:$E$63,Uebersetzungen!$B$2+1,FALSE)</f>
        <v>Thurgau</v>
      </c>
      <c r="B38" s="115">
        <v>235771.00000000049</v>
      </c>
      <c r="C38" s="29">
        <v>71231.887670345255</v>
      </c>
      <c r="D38" s="30">
        <v>2.4508050756652788</v>
      </c>
      <c r="E38" s="31">
        <v>68637.779263952005</v>
      </c>
      <c r="F38" s="30">
        <v>2.5688953151091773</v>
      </c>
      <c r="G38" s="29">
        <v>14626.939972902306</v>
      </c>
      <c r="H38" s="32">
        <v>6.442451839903069</v>
      </c>
      <c r="I38" s="34">
        <v>195.57474064164276</v>
      </c>
      <c r="J38" s="35">
        <v>57.62264112157775</v>
      </c>
      <c r="K38" s="31">
        <v>14832.13928881738</v>
      </c>
      <c r="L38" s="30">
        <v>6.888107950076388</v>
      </c>
      <c r="M38" s="29">
        <v>2221.5648848792734</v>
      </c>
      <c r="N38" s="32">
        <v>17.322006749539973</v>
      </c>
      <c r="O38" s="29">
        <v>62362.730955011721</v>
      </c>
      <c r="P38" s="30">
        <v>2.7593704951918703</v>
      </c>
      <c r="Q38" s="29">
        <v>1662.3832234509557</v>
      </c>
      <c r="R38" s="33">
        <v>19.845275295842121</v>
      </c>
    </row>
    <row r="39" spans="1:18" s="76" customFormat="1" ht="12.75" x14ac:dyDescent="0.2">
      <c r="A39" s="56" t="str">
        <f>VLOOKUP("&lt;Zeilentitel_25&gt;",Uebersetzungen!$B$3:$E$63,Uebersetzungen!$B$2+1,FALSE)</f>
        <v>Zentralschweiz</v>
      </c>
      <c r="B39" s="116">
        <v>687337.00000000419</v>
      </c>
      <c r="C39" s="57">
        <v>68284.370259119562</v>
      </c>
      <c r="D39" s="58">
        <v>3.2655574728272341</v>
      </c>
      <c r="E39" s="59">
        <v>391274.00264288229</v>
      </c>
      <c r="F39" s="58">
        <v>0.94250518515497406</v>
      </c>
      <c r="G39" s="57">
        <v>31131.358369204623</v>
      </c>
      <c r="H39" s="60">
        <v>5.1713712096879023</v>
      </c>
      <c r="I39" s="64">
        <v>805.2189552972319</v>
      </c>
      <c r="J39" s="63">
        <v>32.345719038409328</v>
      </c>
      <c r="K39" s="59">
        <v>28341.734283910195</v>
      </c>
      <c r="L39" s="58">
        <v>5.6986517198538857</v>
      </c>
      <c r="M39" s="57">
        <v>7195.5982172018939</v>
      </c>
      <c r="N39" s="60">
        <v>10.678964165518533</v>
      </c>
      <c r="O39" s="57">
        <v>155099.84513799776</v>
      </c>
      <c r="P39" s="58">
        <v>2.040371085850091</v>
      </c>
      <c r="Q39" s="57">
        <v>5204.8721343908319</v>
      </c>
      <c r="R39" s="61">
        <v>12.867642054311441</v>
      </c>
    </row>
    <row r="40" spans="1:18" s="76" customFormat="1" ht="12.75" x14ac:dyDescent="0.2">
      <c r="A40" s="7" t="str">
        <f>VLOOKUP("&lt;Zeilentitel_26&gt;",Uebersetzungen!$B$3:$E$63,Uebersetzungen!$B$2+1,FALSE)</f>
        <v>Luzern</v>
      </c>
      <c r="B40" s="115">
        <v>344785.00000000384</v>
      </c>
      <c r="C40" s="29">
        <v>32151.022429164033</v>
      </c>
      <c r="D40" s="30">
        <v>4.1366284117126257</v>
      </c>
      <c r="E40" s="31">
        <v>197796.42102374043</v>
      </c>
      <c r="F40" s="30">
        <v>1.1485682322654061</v>
      </c>
      <c r="G40" s="29">
        <v>16211.682926913651</v>
      </c>
      <c r="H40" s="32">
        <v>6.2929409614496974</v>
      </c>
      <c r="I40" s="34">
        <v>235.49823072781504</v>
      </c>
      <c r="J40" s="35">
        <v>53.464956178903122</v>
      </c>
      <c r="K40" s="31">
        <v>15811.911976876167</v>
      </c>
      <c r="L40" s="30">
        <v>6.6113560847227637</v>
      </c>
      <c r="M40" s="29">
        <v>3916.0477902515181</v>
      </c>
      <c r="N40" s="32">
        <v>12.667046390727354</v>
      </c>
      <c r="O40" s="29">
        <v>75988.615270156835</v>
      </c>
      <c r="P40" s="30">
        <v>2.5457107972219299</v>
      </c>
      <c r="Q40" s="29">
        <v>2673.8003521734181</v>
      </c>
      <c r="R40" s="33">
        <v>15.430010049272335</v>
      </c>
    </row>
    <row r="41" spans="1:18" s="76" customFormat="1" ht="12.75" x14ac:dyDescent="0.2">
      <c r="A41" s="7" t="str">
        <f>VLOOKUP("&lt;Zeilentitel_27&gt;",Uebersetzungen!$B$3:$E$63,Uebersetzungen!$B$2+1,FALSE)</f>
        <v>Uri</v>
      </c>
      <c r="B41" s="115">
        <v>30615.999999999567</v>
      </c>
      <c r="C41" s="34">
        <v>960.10902006274466</v>
      </c>
      <c r="D41" s="35">
        <v>35.637644024361691</v>
      </c>
      <c r="E41" s="31">
        <v>23157.232670183512</v>
      </c>
      <c r="F41" s="30">
        <v>3.6256929375990889</v>
      </c>
      <c r="G41" s="34">
        <v>1128.269766909953</v>
      </c>
      <c r="H41" s="37">
        <v>34.585995860935526</v>
      </c>
      <c r="I41" s="29" t="s">
        <v>1</v>
      </c>
      <c r="J41" s="30" t="s">
        <v>1</v>
      </c>
      <c r="K41" s="41">
        <v>729.3466529703843</v>
      </c>
      <c r="L41" s="35">
        <v>43.161344176895149</v>
      </c>
      <c r="M41" s="34">
        <v>259.14359519798904</v>
      </c>
      <c r="N41" s="37">
        <v>72.942999919968301</v>
      </c>
      <c r="O41" s="29">
        <v>4181.1901655910151</v>
      </c>
      <c r="P41" s="30">
        <v>16.170579671142722</v>
      </c>
      <c r="Q41" s="38">
        <v>200.70812908397113</v>
      </c>
      <c r="R41" s="33">
        <v>78.750549269477744</v>
      </c>
    </row>
    <row r="42" spans="1:18" s="76" customFormat="1" ht="12.75" x14ac:dyDescent="0.2">
      <c r="A42" s="7" t="str">
        <f>VLOOKUP("&lt;Zeilentitel_28&gt;",Uebersetzungen!$B$3:$E$63,Uebersetzungen!$B$2+1,FALSE)</f>
        <v>Schwyz</v>
      </c>
      <c r="B42" s="115">
        <v>136273.00000000003</v>
      </c>
      <c r="C42" s="29">
        <v>16184.587142868069</v>
      </c>
      <c r="D42" s="30">
        <v>8.1475724707590373</v>
      </c>
      <c r="E42" s="31">
        <v>75150.864747200831</v>
      </c>
      <c r="F42" s="30">
        <v>2.7182820643262384</v>
      </c>
      <c r="G42" s="29">
        <v>5938.6016927407281</v>
      </c>
      <c r="H42" s="32">
        <v>14.699927440172845</v>
      </c>
      <c r="I42" s="34" t="s">
        <v>1</v>
      </c>
      <c r="J42" s="35" t="s">
        <v>1</v>
      </c>
      <c r="K42" s="31">
        <v>5855.6040074487219</v>
      </c>
      <c r="L42" s="30">
        <v>15.601650181197327</v>
      </c>
      <c r="M42" s="36">
        <v>1197.7508250642711</v>
      </c>
      <c r="N42" s="37">
        <v>32.840184236676947</v>
      </c>
      <c r="O42" s="29">
        <v>30706.623545150531</v>
      </c>
      <c r="P42" s="30">
        <v>5.6588323546499</v>
      </c>
      <c r="Q42" s="34">
        <v>1123.6436863594543</v>
      </c>
      <c r="R42" s="40">
        <v>34.190224402818863</v>
      </c>
    </row>
    <row r="43" spans="1:18" s="76" customFormat="1" ht="12.75" x14ac:dyDescent="0.2">
      <c r="A43" s="7" t="str">
        <f>VLOOKUP("&lt;Zeilentitel_29&gt;",Uebersetzungen!$B$3:$E$63,Uebersetzungen!$B$2+1,FALSE)</f>
        <v>Obwalden</v>
      </c>
      <c r="B43" s="115">
        <v>31784.999999999545</v>
      </c>
      <c r="C43" s="29">
        <v>2529.8194268066391</v>
      </c>
      <c r="D43" s="30">
        <v>21.020883070956984</v>
      </c>
      <c r="E43" s="31">
        <v>21624.581851471958</v>
      </c>
      <c r="F43" s="30">
        <v>4.2970626756187729</v>
      </c>
      <c r="G43" s="34">
        <v>873.5734017055853</v>
      </c>
      <c r="H43" s="37">
        <v>38.358024177144252</v>
      </c>
      <c r="I43" s="38" t="s">
        <v>1</v>
      </c>
      <c r="J43" s="30" t="s">
        <v>1</v>
      </c>
      <c r="K43" s="39">
        <v>860.79288978896977</v>
      </c>
      <c r="L43" s="35">
        <v>43.548848712524951</v>
      </c>
      <c r="M43" s="34">
        <v>173.04376892526528</v>
      </c>
      <c r="N43" s="37">
        <v>86.402268399651618</v>
      </c>
      <c r="O43" s="29">
        <v>5450.4683850326437</v>
      </c>
      <c r="P43" s="30">
        <v>14.079134233270992</v>
      </c>
      <c r="Q43" s="34" t="s">
        <v>1</v>
      </c>
      <c r="R43" s="40" t="s">
        <v>1</v>
      </c>
    </row>
    <row r="44" spans="1:18" s="76" customFormat="1" ht="12.75" x14ac:dyDescent="0.2">
      <c r="A44" s="7" t="str">
        <f>VLOOKUP("&lt;Zeilentitel_30&gt;",Uebersetzungen!$B$3:$E$63,Uebersetzungen!$B$2+1,FALSE)</f>
        <v>Nidwalden</v>
      </c>
      <c r="B44" s="115">
        <v>36956.999999999884</v>
      </c>
      <c r="C44" s="29">
        <v>3555.2834071616157</v>
      </c>
      <c r="D44" s="30">
        <v>17.438784945052056</v>
      </c>
      <c r="E44" s="31">
        <v>22312.192050626669</v>
      </c>
      <c r="F44" s="30">
        <v>4.6764675005402649</v>
      </c>
      <c r="G44" s="34">
        <v>1111.4345020046082</v>
      </c>
      <c r="H44" s="37">
        <v>34.036874724933291</v>
      </c>
      <c r="I44" s="38" t="s">
        <v>1</v>
      </c>
      <c r="J44" s="30" t="s">
        <v>1</v>
      </c>
      <c r="K44" s="41">
        <v>1113.0261556384512</v>
      </c>
      <c r="L44" s="35">
        <v>36.147527191311021</v>
      </c>
      <c r="M44" s="38">
        <v>286.16137812373557</v>
      </c>
      <c r="N44" s="32">
        <v>68.468668101973236</v>
      </c>
      <c r="O44" s="29">
        <v>8323.7249705693794</v>
      </c>
      <c r="P44" s="30">
        <v>10.810026369305902</v>
      </c>
      <c r="Q44" s="34">
        <v>255.1775358754218</v>
      </c>
      <c r="R44" s="40">
        <v>68.526034909986748</v>
      </c>
    </row>
    <row r="45" spans="1:18" s="76" customFormat="1" ht="12.75" x14ac:dyDescent="0.2">
      <c r="A45" s="7" t="str">
        <f>VLOOKUP("&lt;Zeilentitel_31&gt;",Uebersetzungen!$B$3:$E$63,Uebersetzungen!$B$2+1,FALSE)</f>
        <v>Zug</v>
      </c>
      <c r="B45" s="115">
        <v>106921.00000000138</v>
      </c>
      <c r="C45" s="29">
        <v>12903.548833056468</v>
      </c>
      <c r="D45" s="30">
        <v>6.3923965361287669</v>
      </c>
      <c r="E45" s="31">
        <v>51232.7102996588</v>
      </c>
      <c r="F45" s="30">
        <v>2.475344555771279</v>
      </c>
      <c r="G45" s="29">
        <v>5867.7960789300942</v>
      </c>
      <c r="H45" s="32">
        <v>10.523495634409564</v>
      </c>
      <c r="I45" s="34">
        <v>339.9854451754984</v>
      </c>
      <c r="J45" s="35">
        <v>43.906261958451388</v>
      </c>
      <c r="K45" s="31">
        <v>3971.0526011875049</v>
      </c>
      <c r="L45" s="30">
        <v>13.315943005016194</v>
      </c>
      <c r="M45" s="29">
        <v>1363.4508596391154</v>
      </c>
      <c r="N45" s="32">
        <v>22.391372397632573</v>
      </c>
      <c r="O45" s="29">
        <v>30449.222801497344</v>
      </c>
      <c r="P45" s="30">
        <v>3.882598697518918</v>
      </c>
      <c r="Q45" s="34">
        <v>793.23308085657857</v>
      </c>
      <c r="R45" s="40">
        <v>28.494969285570665</v>
      </c>
    </row>
    <row r="46" spans="1:18" s="76" customFormat="1" ht="13.5" thickBot="1" x14ac:dyDescent="0.25">
      <c r="A46" s="129" t="str">
        <f>VLOOKUP("&lt;Zeilentitel_32&gt;",Uebersetzungen!$B$3:$E$63,Uebersetzungen!$B$2+1,FALSE)</f>
        <v>Tessin</v>
      </c>
      <c r="B46" s="130">
        <v>300150.99999999831</v>
      </c>
      <c r="C46" s="131">
        <v>10805.117668020395</v>
      </c>
      <c r="D46" s="132">
        <v>7.2660286146848918</v>
      </c>
      <c r="E46" s="133">
        <v>185692.18296256886</v>
      </c>
      <c r="F46" s="132">
        <v>1.1055511374450921</v>
      </c>
      <c r="G46" s="131">
        <v>16021.114502488183</v>
      </c>
      <c r="H46" s="134">
        <v>6.0878914356612599</v>
      </c>
      <c r="I46" s="135">
        <v>203.59035693902558</v>
      </c>
      <c r="J46" s="136">
        <v>54.955845294123485</v>
      </c>
      <c r="K46" s="133">
        <v>5518.1108364460806</v>
      </c>
      <c r="L46" s="132">
        <v>10.912368026509572</v>
      </c>
      <c r="M46" s="131">
        <v>2026.3001217691476</v>
      </c>
      <c r="N46" s="134">
        <v>17.428051714873781</v>
      </c>
      <c r="O46" s="131">
        <v>76243.233337039594</v>
      </c>
      <c r="P46" s="132">
        <v>2.4681801276138771</v>
      </c>
      <c r="Q46" s="131">
        <v>3641.3502147270556</v>
      </c>
      <c r="R46" s="137">
        <v>12.749906152695498</v>
      </c>
    </row>
    <row r="47" spans="1:18" s="76" customFormat="1" ht="12.75" x14ac:dyDescent="0.2">
      <c r="A47" s="8"/>
      <c r="B47" s="5"/>
      <c r="C47" s="9"/>
      <c r="D47" s="10"/>
      <c r="E47" s="10"/>
      <c r="F47" s="10"/>
      <c r="G47" s="11"/>
      <c r="H47" s="12"/>
      <c r="I47" s="11"/>
      <c r="J47" s="12"/>
      <c r="K47" s="11"/>
      <c r="L47" s="12"/>
      <c r="M47" s="11"/>
      <c r="N47" s="12"/>
      <c r="O47" s="11"/>
      <c r="P47" s="12"/>
      <c r="Q47" s="11"/>
      <c r="R47" s="12"/>
    </row>
    <row r="48" spans="1:18" s="76" customFormat="1" ht="12.75" x14ac:dyDescent="0.2">
      <c r="A48" s="16" t="str">
        <f>VLOOKUP("&lt;Legende_1&gt;",Uebersetzungen!$B$3:$E$63,Uebersetzungen!$B$2+1,FALSE)</f>
        <v xml:space="preserve">Ab 2010 stammen die Daten aus einer Stichprobenerhebung der ständigen Wohnbevölkerung ab vollendetem 15. Altersjahr, die in Privathaushalten lebt. </v>
      </c>
      <c r="B48" s="5"/>
      <c r="C48" s="9"/>
      <c r="D48" s="10"/>
      <c r="E48" s="10"/>
      <c r="F48" s="10"/>
      <c r="G48" s="11"/>
      <c r="H48" s="12"/>
      <c r="I48" s="11"/>
      <c r="J48" s="12"/>
      <c r="K48" s="11"/>
      <c r="L48" s="12"/>
      <c r="M48" s="11"/>
      <c r="N48" s="12"/>
      <c r="O48" s="11"/>
      <c r="P48" s="12"/>
      <c r="Q48" s="11"/>
      <c r="R48" s="12"/>
    </row>
    <row r="49" spans="1:18" s="76" customFormat="1" ht="12.75" x14ac:dyDescent="0.2">
      <c r="A49" s="16" t="str">
        <f>VLOOKUP("&lt;Legende_2&gt;",Uebersetzungen!$B$3:$E$63,Uebersetzungen!$B$2+1,FALSE)</f>
        <v>Nicht befragt wurden Diplomaten, internationale Funktionäre und deren Familienangehörige. Diese Daten sind mit jenen der frühreren Jahre nicht direkt vergleichbar.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s="76" customFormat="1" ht="12.75" x14ac:dyDescent="0.2">
      <c r="A50" s="16" t="str">
        <f>VLOOKUP("&lt;Legende_3&gt;",Uebersetzungen!$B$3:$E$63,Uebersetzungen!$B$2+1,FALSE)</f>
        <v>Das Vertrauensintervall zeigt die Genauigkeit der Resultate einer Stichprobenerhebung.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1:18" s="76" customFormat="1" ht="12.75" x14ac:dyDescent="0.2">
      <c r="A51" s="16" t="str">
        <f>VLOOKUP("&lt;Legende_4&gt;",Uebersetzungen!$B$3:$E$63,Uebersetzungen!$B$2+1,FALSE)</f>
        <v>(): Extrapolation aufgrund von 49 oder weniger Beobachtungen. Die Resultate sind mit grosser Vorsicht zu interpretieren.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s="76" customFormat="1" ht="12.75" x14ac:dyDescent="0.2">
      <c r="A52" s="13" t="str">
        <f>VLOOKUP("&lt;Legende_5&gt;",Uebersetzungen!$B$3:$E$63,Uebersetzungen!$B$2+1,FALSE)</f>
        <v>X: Extrapolation aufgrund von 4 oder weniger Beobachtungen. Die Resultate werden aus Gründen des Datenschutzes nicht publiziert.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s="76" customFormat="1" ht="12.75" x14ac:dyDescent="0.2">
      <c r="A53" s="13" t="str">
        <f>VLOOKUP("&lt;Legende_6&gt;",Uebersetzungen!$B$3:$E$63,Uebersetzungen!$B$2+1,FALSE)</f>
        <v>* inkl. andere aus dem Islam hervorgegangene Gemeinschaften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 s="76" customFormat="1" ht="12.75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18" s="76" customFormat="1" ht="12.75" x14ac:dyDescent="0.2">
      <c r="A55" s="16" t="str">
        <f>VLOOKUP("&lt;quelle_1&gt;",Uebersetzungen!$B$3:$E$63,Uebersetzungen!$B$2+1,FALSE)</f>
        <v>Quelle: BFS (Strukturerhebung)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8" s="76" customFormat="1" ht="12.75" x14ac:dyDescent="0.2">
      <c r="A56" s="13" t="str">
        <f>VLOOKUP("&lt;aktualisierung&gt;",Uebersetzungen!$B$3:$E$213,Uebersetzungen!$B$2+1,FALSE)</f>
        <v>Letztmals aktualisiert am: 29.01.2026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</sheetData>
  <sheetProtection sheet="1" objects="1" scenarios="1"/>
  <mergeCells count="11">
    <mergeCell ref="Q13:R13"/>
    <mergeCell ref="A7:D7"/>
    <mergeCell ref="B12:R12"/>
    <mergeCell ref="B13:B14"/>
    <mergeCell ref="C13:D13"/>
    <mergeCell ref="E13:F13"/>
    <mergeCell ref="G13:H13"/>
    <mergeCell ref="I13:J13"/>
    <mergeCell ref="K13:L13"/>
    <mergeCell ref="M13:N13"/>
    <mergeCell ref="O13:P13"/>
  </mergeCells>
  <pageMargins left="0.7" right="0.7" top="0.75" bottom="0.75" header="0.3" footer="0.3"/>
  <pageSetup paperSize="9" orientation="portrait" r:id="rId1"/>
  <ignoredErrors>
    <ignoredError sqref="D14 E14:F14 G14:H14 I14:J14 K14:L14 M14:N14 O14:Q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Option Button 1">
              <controlPr defaultSize="0" autoFill="0" autoLine="0" autoPict="0">
                <anchor moveWithCells="1">
                  <from>
                    <xdr:col>6</xdr:col>
                    <xdr:colOff>295275</xdr:colOff>
                    <xdr:row>1</xdr:row>
                    <xdr:rowOff>114300</xdr:rowOff>
                  </from>
                  <to>
                    <xdr:col>7</xdr:col>
                    <xdr:colOff>695325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Option Button 2">
              <controlPr defaultSize="0" autoFill="0" autoLine="0" autoPict="0">
                <anchor moveWithCells="1">
                  <from>
                    <xdr:col>6</xdr:col>
                    <xdr:colOff>295275</xdr:colOff>
                    <xdr:row>2</xdr:row>
                    <xdr:rowOff>104775</xdr:rowOff>
                  </from>
                  <to>
                    <xdr:col>8</xdr:col>
                    <xdr:colOff>276225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Option Button 3">
              <controlPr defaultSize="0" autoFill="0" autoLine="0" autoPict="0">
                <anchor moveWithCells="1">
                  <from>
                    <xdr:col>6</xdr:col>
                    <xdr:colOff>295275</xdr:colOff>
                    <xdr:row>3</xdr:row>
                    <xdr:rowOff>66675</xdr:rowOff>
                  </from>
                  <to>
                    <xdr:col>7</xdr:col>
                    <xdr:colOff>695325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6"/>
  <sheetViews>
    <sheetView showGridLines="0" workbookViewId="0"/>
  </sheetViews>
  <sheetFormatPr baseColWidth="10" defaultColWidth="9.140625" defaultRowHeight="14.25" x14ac:dyDescent="0.2"/>
  <cols>
    <col min="1" max="1" width="22.7109375" style="53" customWidth="1"/>
    <col min="2" max="2" width="9.140625" style="53" customWidth="1"/>
    <col min="3" max="18" width="12.42578125" style="53" customWidth="1"/>
    <col min="19" max="16384" width="9.140625" style="77"/>
  </cols>
  <sheetData>
    <row r="1" spans="1:18" s="75" customFormat="1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75" customFormat="1" ht="15.75" x14ac:dyDescent="0.25">
      <c r="A2" s="1"/>
      <c r="B2" s="15"/>
      <c r="C2" s="53"/>
      <c r="D2" s="5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75" customFormat="1" ht="15.75" x14ac:dyDescent="0.25">
      <c r="A3" s="1"/>
      <c r="B3" s="15"/>
      <c r="C3" s="53"/>
      <c r="D3" s="5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s="75" customFormat="1" ht="15.75" x14ac:dyDescent="0.25">
      <c r="A4" s="1"/>
      <c r="B4" s="15"/>
      <c r="C4" s="53"/>
      <c r="D4" s="5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75" customFormat="1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s="75" customFormat="1" ht="12.7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s="75" customFormat="1" ht="15.75" customHeight="1" x14ac:dyDescent="0.2">
      <c r="A7" s="146" t="str">
        <f>VLOOKUP("&lt;Fachbereich&gt;",Uebersetzungen!$B$3:$E$63,Uebersetzungen!$B$2+1,FALSE)</f>
        <v>Daten &amp; Statistik</v>
      </c>
      <c r="B7" s="146"/>
      <c r="C7" s="146"/>
      <c r="D7" s="146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</row>
    <row r="8" spans="1:18" s="75" customFormat="1" ht="12.7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s="76" customFormat="1" ht="18" x14ac:dyDescent="0.2">
      <c r="A9" s="19" t="str">
        <f>VLOOKUP("&lt;Titel&gt;",Uebersetzungen!$B$3:$E$63,Uebersetzungen!$B$2+1,FALSE)</f>
        <v>Religionszugehörigkeit nach Kanton</v>
      </c>
      <c r="B9" s="54"/>
      <c r="C9" s="55"/>
      <c r="D9" s="55"/>
      <c r="E9" s="55"/>
      <c r="F9" s="55"/>
      <c r="G9" s="55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s="76" customFormat="1" ht="12.75" x14ac:dyDescent="0.2">
      <c r="A10" s="20" t="str">
        <f>VLOOKUP("&lt;UTitel&gt;",Uebersetzungen!$B$3:$E$63,Uebersetzungen!$B$2+1,FALSE)</f>
        <v>Ständige Wohnbevölkerung ab 15 Jahren</v>
      </c>
      <c r="B10" s="54"/>
      <c r="C10" s="55"/>
      <c r="D10" s="55"/>
      <c r="E10" s="55"/>
      <c r="F10" s="55"/>
      <c r="G10" s="5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8.75" thickBot="1" x14ac:dyDescent="0.3">
      <c r="B11" s="17"/>
      <c r="C11" s="18"/>
      <c r="D11" s="4"/>
      <c r="E11" s="4"/>
      <c r="F11" s="4"/>
      <c r="G11" s="4"/>
      <c r="H11" s="4"/>
      <c r="I11" s="4"/>
      <c r="J11" s="4"/>
    </row>
    <row r="12" spans="1:18" s="78" customFormat="1" ht="18" x14ac:dyDescent="0.25">
      <c r="A12" s="3"/>
      <c r="B12" s="158">
        <v>2019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60"/>
    </row>
    <row r="13" spans="1:18" s="78" customFormat="1" ht="37.5" customHeight="1" x14ac:dyDescent="0.25">
      <c r="A13" s="3"/>
      <c r="B13" s="157" t="str">
        <f>VLOOKUP("&lt;SpaltenTitel_1&gt;",Uebersetzungen!$B$3:$E$63,Uebersetzungen!$B$2+1,FALSE)</f>
        <v>Total</v>
      </c>
      <c r="C13" s="152" t="str">
        <f>VLOOKUP("&lt;SpaltenTitel_2&gt;",Uebersetzungen!$B$3:$E$63,Uebersetzungen!$B$2+1,FALSE)</f>
        <v>Evangelisch-reformiert</v>
      </c>
      <c r="D13" s="152"/>
      <c r="E13" s="152" t="str">
        <f>VLOOKUP("&lt;SpaltenTitel_3&gt;",Uebersetzungen!$B$3:$E$63,Uebersetzungen!$B$2+1,FALSE)</f>
        <v>Römisch-katholisch</v>
      </c>
      <c r="F13" s="152"/>
      <c r="G13" s="152" t="str">
        <f>VLOOKUP("&lt;SpaltenTitel_4&gt;",Uebersetzungen!$B$3:$E$63,Uebersetzungen!$B$2+1,FALSE)</f>
        <v>Andere christliche Glaubensgemeinschaften</v>
      </c>
      <c r="H13" s="152"/>
      <c r="I13" s="152" t="str">
        <f>VLOOKUP("&lt;SpaltenTitel_5&gt;",Uebersetzungen!$B$3:$E$63,Uebersetzungen!$B$2+1,FALSE)</f>
        <v>Jüdische Glaubensgemeinschaften</v>
      </c>
      <c r="J13" s="152"/>
      <c r="K13" s="152" t="str">
        <f>VLOOKUP("&lt;SpaltenTitel_6&gt;",Uebersetzungen!$B$3:$E$63,Uebersetzungen!$B$2+1,FALSE)</f>
        <v>Islamische Glaubensgem.*</v>
      </c>
      <c r="L13" s="152"/>
      <c r="M13" s="152" t="str">
        <f>VLOOKUP("&lt;SpaltenTitel_7&gt;",Uebersetzungen!$B$3:$E$63,Uebersetzungen!$B$2+1,FALSE)</f>
        <v>Andere Religionsgemeinschaften</v>
      </c>
      <c r="N13" s="152"/>
      <c r="O13" s="152" t="str">
        <f>VLOOKUP("&lt;SpaltenTitel_8&gt;",Uebersetzungen!$B$3:$E$63,Uebersetzungen!$B$2+1,FALSE)</f>
        <v>Ohne Religionszugehörigkeit</v>
      </c>
      <c r="P13" s="152"/>
      <c r="Q13" s="152" t="str">
        <f>VLOOKUP("&lt;SpaltenTitel_9&gt;",Uebersetzungen!$B$3:$E$63,Uebersetzungen!$B$2+1,FALSE)</f>
        <v>Religionszugehörigkeit unbekannt</v>
      </c>
      <c r="R13" s="153"/>
    </row>
    <row r="14" spans="1:18" s="78" customFormat="1" ht="39" thickBot="1" x14ac:dyDescent="0.3">
      <c r="A14" s="6"/>
      <c r="B14" s="151"/>
      <c r="C14" s="112" t="str">
        <f>VLOOKUP("&lt;SpaltenTitel_2.1&gt;",Uebersetzungen!$B$3:$E$63,Uebersetzungen!$B$2+1,FALSE)</f>
        <v>Anzahl Personen</v>
      </c>
      <c r="D14" s="112" t="str">
        <f>VLOOKUP("&lt;SpaltenTitel_2.2&gt;",Uebersetzungen!$B$3:$E$63,Uebersetzungen!$B$2+1,FALSE)</f>
        <v>Vertrauens- intervall:          ± (in %)</v>
      </c>
      <c r="E14" s="112" t="str">
        <f>VLOOKUP("&lt;SpaltenTitel_2.1&gt;",Uebersetzungen!$B$3:$E$63,Uebersetzungen!$B$2+1,FALSE)</f>
        <v>Anzahl Personen</v>
      </c>
      <c r="F14" s="112" t="str">
        <f>VLOOKUP("&lt;SpaltenTitel_2.2&gt;",Uebersetzungen!$B$3:$E$63,Uebersetzungen!$B$2+1,FALSE)</f>
        <v>Vertrauens- intervall:          ± (in %)</v>
      </c>
      <c r="G14" s="112" t="str">
        <f>VLOOKUP("&lt;SpaltenTitel_2.1&gt;",Uebersetzungen!$B$3:$E$63,Uebersetzungen!$B$2+1,FALSE)</f>
        <v>Anzahl Personen</v>
      </c>
      <c r="H14" s="112" t="str">
        <f>VLOOKUP("&lt;SpaltenTitel_2.2&gt;",Uebersetzungen!$B$3:$E$63,Uebersetzungen!$B$2+1,FALSE)</f>
        <v>Vertrauens- intervall:          ± (in %)</v>
      </c>
      <c r="I14" s="112" t="str">
        <f>VLOOKUP("&lt;SpaltenTitel_2.1&gt;",Uebersetzungen!$B$3:$E$63,Uebersetzungen!$B$2+1,FALSE)</f>
        <v>Anzahl Personen</v>
      </c>
      <c r="J14" s="112" t="str">
        <f>VLOOKUP("&lt;SpaltenTitel_2.2&gt;",Uebersetzungen!$B$3:$E$63,Uebersetzungen!$B$2+1,FALSE)</f>
        <v>Vertrauens- intervall:          ± (in %)</v>
      </c>
      <c r="K14" s="112" t="str">
        <f>VLOOKUP("&lt;SpaltenTitel_2.1&gt;",Uebersetzungen!$B$3:$E$63,Uebersetzungen!$B$2+1,FALSE)</f>
        <v>Anzahl Personen</v>
      </c>
      <c r="L14" s="112" t="str">
        <f>VLOOKUP("&lt;SpaltenTitel_2.2&gt;",Uebersetzungen!$B$3:$E$63,Uebersetzungen!$B$2+1,FALSE)</f>
        <v>Vertrauens- intervall:          ± (in %)</v>
      </c>
      <c r="M14" s="112" t="str">
        <f>VLOOKUP("&lt;SpaltenTitel_2.1&gt;",Uebersetzungen!$B$3:$E$63,Uebersetzungen!$B$2+1,FALSE)</f>
        <v>Anzahl Personen</v>
      </c>
      <c r="N14" s="112" t="str">
        <f>VLOOKUP("&lt;SpaltenTitel_2.2&gt;",Uebersetzungen!$B$3:$E$63,Uebersetzungen!$B$2+1,FALSE)</f>
        <v>Vertrauens- intervall:          ± (in %)</v>
      </c>
      <c r="O14" s="112" t="str">
        <f>VLOOKUP("&lt;SpaltenTitel_2.1&gt;",Uebersetzungen!$B$3:$E$63,Uebersetzungen!$B$2+1,FALSE)</f>
        <v>Anzahl Personen</v>
      </c>
      <c r="P14" s="112" t="str">
        <f>VLOOKUP("&lt;SpaltenTitel_2.2&gt;",Uebersetzungen!$B$3:$E$63,Uebersetzungen!$B$2+1,FALSE)</f>
        <v>Vertrauens- intervall:          ± (in %)</v>
      </c>
      <c r="Q14" s="112" t="str">
        <f>VLOOKUP("&lt;SpaltenTitel_2.1&gt;",Uebersetzungen!$B$3:$E$63,Uebersetzungen!$B$2+1,FALSE)</f>
        <v>Anzahl Personen</v>
      </c>
      <c r="R14" s="113" t="str">
        <f>VLOOKUP("&lt;SpaltenTitel_2.2&gt;",Uebersetzungen!$B$3:$E$63,Uebersetzungen!$B$2+1,FALSE)</f>
        <v>Vertrauens- intervall:          ± (in %)</v>
      </c>
    </row>
    <row r="15" spans="1:18" s="76" customFormat="1" ht="12.75" x14ac:dyDescent="0.2">
      <c r="A15" s="14" t="str">
        <f>VLOOKUP("&lt;Zeilentitel_1&gt;",Uebersetzungen!$B$3:$E$63,Uebersetzungen!$B$2+1,FALSE)</f>
        <v>Total</v>
      </c>
      <c r="B15" s="28">
        <v>7132533.0000000503</v>
      </c>
      <c r="C15" s="108">
        <v>1607956.7768642991</v>
      </c>
      <c r="D15" s="119">
        <v>0.69160228713650407</v>
      </c>
      <c r="E15" s="120">
        <v>2454451.4387381189</v>
      </c>
      <c r="F15" s="119">
        <v>0.50466206172775585</v>
      </c>
      <c r="G15" s="109">
        <v>404967.00655471062</v>
      </c>
      <c r="H15" s="121">
        <v>1.6309138629466828</v>
      </c>
      <c r="I15" s="109">
        <v>17307.409765420383</v>
      </c>
      <c r="J15" s="119">
        <v>7.8254961179860132</v>
      </c>
      <c r="K15" s="110">
        <v>391702.93793128</v>
      </c>
      <c r="L15" s="119">
        <v>1.7444872248987506</v>
      </c>
      <c r="M15" s="109">
        <v>93830.724740667021</v>
      </c>
      <c r="N15" s="121">
        <v>3.4959197399899788</v>
      </c>
      <c r="O15" s="108">
        <v>2101913.6508962931</v>
      </c>
      <c r="P15" s="119">
        <v>0.59771990222361715</v>
      </c>
      <c r="Q15" s="109">
        <v>60403.054509262489</v>
      </c>
      <c r="R15" s="122">
        <v>4.0764688305077463</v>
      </c>
    </row>
    <row r="16" spans="1:18" s="76" customFormat="1" ht="12.75" x14ac:dyDescent="0.2">
      <c r="A16" s="56" t="str">
        <f>VLOOKUP("&lt;Zeilentitel_2&gt;",Uebersetzungen!$B$3:$E$63,Uebersetzungen!$B$2+1,FALSE)</f>
        <v>Genferseeregion</v>
      </c>
      <c r="B16" s="114">
        <v>1335054.000000013</v>
      </c>
      <c r="C16" s="57">
        <v>188579.58961731417</v>
      </c>
      <c r="D16" s="58">
        <v>1.6856725624984852</v>
      </c>
      <c r="E16" s="59">
        <v>501907.95171553304</v>
      </c>
      <c r="F16" s="58">
        <v>0.92717706080666262</v>
      </c>
      <c r="G16" s="57">
        <v>69025.214280167318</v>
      </c>
      <c r="H16" s="60">
        <v>3.2040973183466477</v>
      </c>
      <c r="I16" s="57">
        <v>6163.4743199044697</v>
      </c>
      <c r="J16" s="58">
        <v>10.548576003332018</v>
      </c>
      <c r="K16" s="59">
        <v>70771.228591737789</v>
      </c>
      <c r="L16" s="58">
        <v>3.3307225094489312</v>
      </c>
      <c r="M16" s="57">
        <v>16145.240399278506</v>
      </c>
      <c r="N16" s="60">
        <v>6.8702616682156297</v>
      </c>
      <c r="O16" s="57">
        <v>462845.9530758569</v>
      </c>
      <c r="P16" s="58">
        <v>1.0160572498235658</v>
      </c>
      <c r="Q16" s="57">
        <v>19615.348000220678</v>
      </c>
      <c r="R16" s="61">
        <v>6.1169016079703438</v>
      </c>
    </row>
    <row r="17" spans="1:18" s="76" customFormat="1" ht="12.75" x14ac:dyDescent="0.2">
      <c r="A17" s="7" t="str">
        <f>VLOOKUP("&lt;Zeilentitel_3&gt;",Uebersetzungen!$B$3:$E$63,Uebersetzungen!$B$2+1,FALSE)</f>
        <v>Waadt</v>
      </c>
      <c r="B17" s="115">
        <v>657154.00000000698</v>
      </c>
      <c r="C17" s="29">
        <v>140667.68790393064</v>
      </c>
      <c r="D17" s="30">
        <v>1.797107958205828</v>
      </c>
      <c r="E17" s="31">
        <v>182335.88397064601</v>
      </c>
      <c r="F17" s="30">
        <v>1.5782842787002713</v>
      </c>
      <c r="G17" s="29">
        <v>40270.939357208241</v>
      </c>
      <c r="H17" s="32">
        <v>3.9045067490675294</v>
      </c>
      <c r="I17" s="29">
        <v>1882.858643475179</v>
      </c>
      <c r="J17" s="30">
        <v>18.178058010100163</v>
      </c>
      <c r="K17" s="31">
        <v>35562.540755157235</v>
      </c>
      <c r="L17" s="30">
        <v>4.3493106415935046</v>
      </c>
      <c r="M17" s="29">
        <v>8453.3106035233413</v>
      </c>
      <c r="N17" s="32">
        <v>8.8840016548547194</v>
      </c>
      <c r="O17" s="29">
        <v>239034.26530580976</v>
      </c>
      <c r="P17" s="30">
        <v>1.3096214493473457</v>
      </c>
      <c r="Q17" s="29">
        <v>8946.5134602566268</v>
      </c>
      <c r="R17" s="33">
        <v>8.3687439707221678</v>
      </c>
    </row>
    <row r="18" spans="1:18" s="76" customFormat="1" ht="12.75" x14ac:dyDescent="0.2">
      <c r="A18" s="7" t="str">
        <f>VLOOKUP("&lt;Zeilentitel_4&gt;",Uebersetzungen!$B$3:$E$63,Uebersetzungen!$B$2+1,FALSE)</f>
        <v>Wallis</v>
      </c>
      <c r="B18" s="115">
        <v>288793.00000000873</v>
      </c>
      <c r="C18" s="29">
        <v>16144.52895728992</v>
      </c>
      <c r="D18" s="30">
        <v>8.4766653300692241</v>
      </c>
      <c r="E18" s="31">
        <v>198975.69999977513</v>
      </c>
      <c r="F18" s="30">
        <v>1.393063563506401</v>
      </c>
      <c r="G18" s="29">
        <v>7486.0040303357318</v>
      </c>
      <c r="H18" s="32">
        <v>13.08666961972407</v>
      </c>
      <c r="I18" s="34">
        <v>357.89678594673552</v>
      </c>
      <c r="J18" s="35">
        <v>58.563547048119368</v>
      </c>
      <c r="K18" s="31">
        <v>9314.9419096384499</v>
      </c>
      <c r="L18" s="30">
        <v>12.029311450644208</v>
      </c>
      <c r="M18" s="36">
        <v>1956.8806519711768</v>
      </c>
      <c r="N18" s="37">
        <v>26.22537800191315</v>
      </c>
      <c r="O18" s="29">
        <v>51528.394603121662</v>
      </c>
      <c r="P18" s="30">
        <v>4.5702694438882023</v>
      </c>
      <c r="Q18" s="29">
        <v>3028.6530619299942</v>
      </c>
      <c r="R18" s="33">
        <v>20.283261414373591</v>
      </c>
    </row>
    <row r="19" spans="1:18" s="76" customFormat="1" ht="12.75" x14ac:dyDescent="0.2">
      <c r="A19" s="7" t="str">
        <f>VLOOKUP("&lt;Zeilentitel_5&gt;",Uebersetzungen!$B$3:$E$63,Uebersetzungen!$B$2+1,FALSE)</f>
        <v>Genf</v>
      </c>
      <c r="B19" s="115">
        <v>389106.99999999709</v>
      </c>
      <c r="C19" s="29">
        <v>31767.372756093609</v>
      </c>
      <c r="D19" s="30">
        <v>4.2718711626125385</v>
      </c>
      <c r="E19" s="31">
        <v>120596.36774511196</v>
      </c>
      <c r="F19" s="30">
        <v>1.9781464954572097</v>
      </c>
      <c r="G19" s="29">
        <v>21268.270892623339</v>
      </c>
      <c r="H19" s="32">
        <v>5.6796884963731795</v>
      </c>
      <c r="I19" s="29">
        <v>3922.7188904825543</v>
      </c>
      <c r="J19" s="30">
        <v>13.039337174959075</v>
      </c>
      <c r="K19" s="31">
        <v>25893.745926942112</v>
      </c>
      <c r="L19" s="30">
        <v>5.3351054125296011</v>
      </c>
      <c r="M19" s="29">
        <v>5735.0491437839883</v>
      </c>
      <c r="N19" s="32">
        <v>11.06926959167018</v>
      </c>
      <c r="O19" s="29">
        <v>172283.29316692543</v>
      </c>
      <c r="P19" s="30">
        <v>1.5103135698569115</v>
      </c>
      <c r="Q19" s="29">
        <v>7640.1814780340537</v>
      </c>
      <c r="R19" s="33">
        <v>9.2708205401433261</v>
      </c>
    </row>
    <row r="20" spans="1:18" s="76" customFormat="1" ht="12.75" x14ac:dyDescent="0.2">
      <c r="A20" s="56" t="str">
        <f>VLOOKUP("&lt;Zeilentitel_6&gt;",Uebersetzungen!$B$3:$E$63,Uebersetzungen!$B$2+1,FALSE)</f>
        <v>Espace Mittelland</v>
      </c>
      <c r="B20" s="114">
        <v>1571198.0000000098</v>
      </c>
      <c r="C20" s="57">
        <v>521802.41920448281</v>
      </c>
      <c r="D20" s="58">
        <v>1.1078524824112257</v>
      </c>
      <c r="E20" s="59">
        <v>426558.71847439674</v>
      </c>
      <c r="F20" s="58">
        <v>1.2936017875890031</v>
      </c>
      <c r="G20" s="57">
        <v>88374.733436849987</v>
      </c>
      <c r="H20" s="60">
        <v>3.5688533125995958</v>
      </c>
      <c r="I20" s="62">
        <v>2086.1678898362943</v>
      </c>
      <c r="J20" s="63">
        <v>23.405668636596467</v>
      </c>
      <c r="K20" s="59">
        <v>71348.61090841706</v>
      </c>
      <c r="L20" s="58">
        <v>4.2028612991643897</v>
      </c>
      <c r="M20" s="57">
        <v>19261.973427652818</v>
      </c>
      <c r="N20" s="60">
        <v>7.723249549100081</v>
      </c>
      <c r="O20" s="57">
        <v>428102.22815838136</v>
      </c>
      <c r="P20" s="58">
        <v>1.3662416854542918</v>
      </c>
      <c r="Q20" s="57">
        <v>13663.148499992843</v>
      </c>
      <c r="R20" s="61">
        <v>9.0400273382675866</v>
      </c>
    </row>
    <row r="21" spans="1:18" s="76" customFormat="1" ht="12.75" x14ac:dyDescent="0.2">
      <c r="A21" s="7" t="str">
        <f>VLOOKUP("&lt;Zeilentitel_7&gt;",Uebersetzungen!$B$3:$E$63,Uebersetzungen!$B$2+1,FALSE)</f>
        <v>Bern</v>
      </c>
      <c r="B21" s="115">
        <v>868970.00000001607</v>
      </c>
      <c r="C21" s="29">
        <v>413141.07276427239</v>
      </c>
      <c r="D21" s="30">
        <v>1.1820660689442215</v>
      </c>
      <c r="E21" s="31">
        <v>133635.7719402533</v>
      </c>
      <c r="F21" s="30">
        <v>2.7182650099233072</v>
      </c>
      <c r="G21" s="29">
        <v>57889.038174131223</v>
      </c>
      <c r="H21" s="32">
        <v>4.4108216254513088</v>
      </c>
      <c r="I21" s="34">
        <v>1305.9081214337</v>
      </c>
      <c r="J21" s="35">
        <v>29.812893524307935</v>
      </c>
      <c r="K21" s="31">
        <v>34876.002110396934</v>
      </c>
      <c r="L21" s="30">
        <v>5.9812163190630701</v>
      </c>
      <c r="M21" s="29">
        <v>12598.841854965707</v>
      </c>
      <c r="N21" s="32">
        <v>9.573979321659511</v>
      </c>
      <c r="O21" s="29">
        <v>208345.90453720393</v>
      </c>
      <c r="P21" s="30">
        <v>2.0554693804510724</v>
      </c>
      <c r="Q21" s="29">
        <v>7177.4604973589658</v>
      </c>
      <c r="R21" s="33">
        <v>12.793060609840778</v>
      </c>
    </row>
    <row r="22" spans="1:18" s="76" customFormat="1" ht="12.75" x14ac:dyDescent="0.2">
      <c r="A22" s="7" t="str">
        <f>VLOOKUP("&lt;Zeilentitel_8&gt;",Uebersetzungen!$B$3:$E$63,Uebersetzungen!$B$2+1,FALSE)</f>
        <v>Freiburg</v>
      </c>
      <c r="B22" s="115">
        <v>262653.99999999878</v>
      </c>
      <c r="C22" s="29">
        <v>31009.86141225223</v>
      </c>
      <c r="D22" s="30">
        <v>5.8328546602623312</v>
      </c>
      <c r="E22" s="31">
        <v>152262.1782695924</v>
      </c>
      <c r="F22" s="30">
        <v>1.841431943636366</v>
      </c>
      <c r="G22" s="29">
        <v>9675.3677456041059</v>
      </c>
      <c r="H22" s="32">
        <v>11.423242044955755</v>
      </c>
      <c r="I22" s="34">
        <v>281.28721274866768</v>
      </c>
      <c r="J22" s="35">
        <v>69.100558121140878</v>
      </c>
      <c r="K22" s="31">
        <v>11030.09059963996</v>
      </c>
      <c r="L22" s="30">
        <v>11.339227232877759</v>
      </c>
      <c r="M22" s="29">
        <v>1794.0720983699687</v>
      </c>
      <c r="N22" s="32">
        <v>26.870976666043966</v>
      </c>
      <c r="O22" s="29">
        <v>54612.988327314575</v>
      </c>
      <c r="P22" s="30">
        <v>4.2939253541970661</v>
      </c>
      <c r="Q22" s="29">
        <v>1988.1543344768527</v>
      </c>
      <c r="R22" s="33">
        <v>25.415459917340527</v>
      </c>
    </row>
    <row r="23" spans="1:18" s="76" customFormat="1" ht="12.75" x14ac:dyDescent="0.2">
      <c r="A23" s="7" t="str">
        <f>VLOOKUP("&lt;Zeilentitel_9&gt;",Uebersetzungen!$B$3:$E$63,Uebersetzungen!$B$2+1,FALSE)</f>
        <v>Solothurn</v>
      </c>
      <c r="B23" s="115">
        <v>231763.99999999421</v>
      </c>
      <c r="C23" s="29">
        <v>43554.215098082917</v>
      </c>
      <c r="D23" s="30">
        <v>4.7541423739369382</v>
      </c>
      <c r="E23" s="31">
        <v>72327.647328160805</v>
      </c>
      <c r="F23" s="30">
        <v>3.4503902285569632</v>
      </c>
      <c r="G23" s="29">
        <v>11216.412107403568</v>
      </c>
      <c r="H23" s="32">
        <v>10.81140772556169</v>
      </c>
      <c r="I23" s="38">
        <v>174.00851600484054</v>
      </c>
      <c r="J23" s="30">
        <v>86.561544562363963</v>
      </c>
      <c r="K23" s="31">
        <v>16882.667803349588</v>
      </c>
      <c r="L23" s="30">
        <v>9.0884633344868728</v>
      </c>
      <c r="M23" s="29">
        <v>2842.8980020577087</v>
      </c>
      <c r="N23" s="32">
        <v>21.313481054846484</v>
      </c>
      <c r="O23" s="29">
        <v>83120.428431324079</v>
      </c>
      <c r="P23" s="30">
        <v>3.1591982377304082</v>
      </c>
      <c r="Q23" s="29">
        <v>1645.7227136106949</v>
      </c>
      <c r="R23" s="33">
        <v>28.150457485796785</v>
      </c>
    </row>
    <row r="24" spans="1:18" s="76" customFormat="1" ht="12.75" x14ac:dyDescent="0.2">
      <c r="A24" s="7" t="str">
        <f>VLOOKUP("&lt;Zeilentitel_10&gt;",Uebersetzungen!$B$3:$E$63,Uebersetzungen!$B$2+1,FALSE)</f>
        <v>Neuenburg</v>
      </c>
      <c r="B24" s="115">
        <v>146439.99999999913</v>
      </c>
      <c r="C24" s="29">
        <v>28107.444992991735</v>
      </c>
      <c r="D24" s="30">
        <v>4.1360930009993329</v>
      </c>
      <c r="E24" s="31">
        <v>28846.117027580425</v>
      </c>
      <c r="F24" s="30">
        <v>4.1086247459513112</v>
      </c>
      <c r="G24" s="29">
        <v>7449.1464383357315</v>
      </c>
      <c r="H24" s="32">
        <v>8.9434843501237697</v>
      </c>
      <c r="I24" s="34">
        <v>254.42404616872298</v>
      </c>
      <c r="J24" s="35">
        <v>51.407978352806389</v>
      </c>
      <c r="K24" s="31">
        <v>6515.4138533684536</v>
      </c>
      <c r="L24" s="30">
        <v>10.10721481758023</v>
      </c>
      <c r="M24" s="29">
        <v>1552.9561537452596</v>
      </c>
      <c r="N24" s="32">
        <v>20.205732476511844</v>
      </c>
      <c r="O24" s="29">
        <v>71421.98532217952</v>
      </c>
      <c r="P24" s="30">
        <v>2.1426457687516884</v>
      </c>
      <c r="Q24" s="29">
        <v>2292.5121656292831</v>
      </c>
      <c r="R24" s="33">
        <v>16.267105359646365</v>
      </c>
    </row>
    <row r="25" spans="1:18" s="76" customFormat="1" ht="12.75" x14ac:dyDescent="0.2">
      <c r="A25" s="7" t="str">
        <f>VLOOKUP("&lt;Zeilentitel_11&gt;",Uebersetzungen!$B$3:$E$63,Uebersetzungen!$B$2+1,FALSE)</f>
        <v>Jura</v>
      </c>
      <c r="B25" s="115">
        <v>61370.000000001652</v>
      </c>
      <c r="C25" s="29">
        <v>5989.8249368835386</v>
      </c>
      <c r="D25" s="30">
        <v>13.536998481579833</v>
      </c>
      <c r="E25" s="31">
        <v>39487.003908809776</v>
      </c>
      <c r="F25" s="30">
        <v>3.3582729379883873</v>
      </c>
      <c r="G25" s="29">
        <v>2144.7689713753471</v>
      </c>
      <c r="H25" s="32">
        <v>25.186599195649379</v>
      </c>
      <c r="I25" s="38" t="s">
        <v>1</v>
      </c>
      <c r="J25" s="30" t="s">
        <v>1</v>
      </c>
      <c r="K25" s="39">
        <v>2044.4365416621224</v>
      </c>
      <c r="L25" s="35">
        <v>26.267086574121784</v>
      </c>
      <c r="M25" s="34">
        <v>473.20531851417331</v>
      </c>
      <c r="N25" s="37">
        <v>51.829499962236888</v>
      </c>
      <c r="O25" s="29">
        <v>10600.921540359281</v>
      </c>
      <c r="P25" s="30">
        <v>10.042727638090359</v>
      </c>
      <c r="Q25" s="34">
        <v>559.29878891704573</v>
      </c>
      <c r="R25" s="40">
        <v>48.457226947961402</v>
      </c>
    </row>
    <row r="26" spans="1:18" s="76" customFormat="1" ht="12.75" x14ac:dyDescent="0.2">
      <c r="A26" s="56" t="str">
        <f>VLOOKUP("&lt;Zeilentitel_12&gt;",Uebersetzungen!$B$3:$E$63,Uebersetzungen!$B$2+1,FALSE)</f>
        <v>Nordwestschweiz</v>
      </c>
      <c r="B26" s="116">
        <v>978363.00000001653</v>
      </c>
      <c r="C26" s="57">
        <v>218059.42872783705</v>
      </c>
      <c r="D26" s="58">
        <v>2.0817619128139135</v>
      </c>
      <c r="E26" s="59">
        <v>260838.3462541289</v>
      </c>
      <c r="F26" s="58">
        <v>1.8796715206568675</v>
      </c>
      <c r="G26" s="57">
        <v>59716.265265713853</v>
      </c>
      <c r="H26" s="60">
        <v>4.5793070679905599</v>
      </c>
      <c r="I26" s="57">
        <v>1902.2138813031042</v>
      </c>
      <c r="J26" s="58">
        <v>26.928233371050709</v>
      </c>
      <c r="K26" s="59">
        <v>69130.934769978179</v>
      </c>
      <c r="L26" s="58">
        <v>4.4665395295193369</v>
      </c>
      <c r="M26" s="57">
        <v>15068.081805184071</v>
      </c>
      <c r="N26" s="60">
        <v>9.4600854157582077</v>
      </c>
      <c r="O26" s="57">
        <v>346613.87671868486</v>
      </c>
      <c r="P26" s="58">
        <v>1.5363577459590188</v>
      </c>
      <c r="Q26" s="57">
        <v>7033.8525771864297</v>
      </c>
      <c r="R26" s="61">
        <v>13.512056493684288</v>
      </c>
    </row>
    <row r="27" spans="1:18" s="76" customFormat="1" ht="12.75" x14ac:dyDescent="0.2">
      <c r="A27" s="7" t="str">
        <f>VLOOKUP("&lt;Zeilentitel_13&gt;",Uebersetzungen!$B$3:$E$63,Uebersetzungen!$B$2+1,FALSE)</f>
        <v>Basel-Stadt</v>
      </c>
      <c r="B27" s="115">
        <v>162990.00000000227</v>
      </c>
      <c r="C27" s="29">
        <v>23780.258775700386</v>
      </c>
      <c r="D27" s="30">
        <v>6.8189533349104527</v>
      </c>
      <c r="E27" s="31">
        <v>24354.686071005377</v>
      </c>
      <c r="F27" s="30">
        <v>6.8862293084005284</v>
      </c>
      <c r="G27" s="29">
        <v>9609.8845152128579</v>
      </c>
      <c r="H27" s="32">
        <v>11.880151345117264</v>
      </c>
      <c r="I27" s="34">
        <v>1225.7998247597184</v>
      </c>
      <c r="J27" s="35">
        <v>33.462784178673857</v>
      </c>
      <c r="K27" s="31">
        <v>12758.870690145664</v>
      </c>
      <c r="L27" s="30">
        <v>10.905462594254166</v>
      </c>
      <c r="M27" s="29">
        <v>3160.2393730168678</v>
      </c>
      <c r="N27" s="32">
        <v>21.321031000552278</v>
      </c>
      <c r="O27" s="29">
        <v>86123.927772062816</v>
      </c>
      <c r="P27" s="30">
        <v>2.7887225170629195</v>
      </c>
      <c r="Q27" s="29">
        <v>1976.332978098581</v>
      </c>
      <c r="R27" s="33">
        <v>26.177420230684522</v>
      </c>
    </row>
    <row r="28" spans="1:18" s="76" customFormat="1" ht="12.75" x14ac:dyDescent="0.2">
      <c r="A28" s="7" t="str">
        <f>VLOOKUP("&lt;Zeilentitel_14&gt;",Uebersetzungen!$B$3:$E$63,Uebersetzungen!$B$2+1,FALSE)</f>
        <v>Basel-Landschaft</v>
      </c>
      <c r="B28" s="115">
        <v>243491.00000000143</v>
      </c>
      <c r="C28" s="29">
        <v>67296.608717047391</v>
      </c>
      <c r="D28" s="30">
        <v>3.6230487448132958</v>
      </c>
      <c r="E28" s="31">
        <v>63861.960899166392</v>
      </c>
      <c r="F28" s="30">
        <v>3.8178952099123142</v>
      </c>
      <c r="G28" s="29">
        <v>12832.479336387396</v>
      </c>
      <c r="H28" s="32">
        <v>9.7917644691076298</v>
      </c>
      <c r="I28" s="34">
        <v>184.70243026488589</v>
      </c>
      <c r="J28" s="35">
        <v>79.062523331617854</v>
      </c>
      <c r="K28" s="31">
        <v>14861.990611181018</v>
      </c>
      <c r="L28" s="30">
        <v>9.6731324704890067</v>
      </c>
      <c r="M28" s="29">
        <v>3552.5926980508939</v>
      </c>
      <c r="N28" s="32">
        <v>19.110432424282966</v>
      </c>
      <c r="O28" s="29">
        <v>79044.271197140595</v>
      </c>
      <c r="P28" s="30">
        <v>3.3039481260261754</v>
      </c>
      <c r="Q28" s="29">
        <v>1856.3941107628775</v>
      </c>
      <c r="R28" s="33">
        <v>25.83229419801982</v>
      </c>
    </row>
    <row r="29" spans="1:18" s="76" customFormat="1" ht="12.75" x14ac:dyDescent="0.2">
      <c r="A29" s="7" t="str">
        <f>VLOOKUP("&lt;Zeilentitel_15&gt;",Uebersetzungen!$B$3:$E$63,Uebersetzungen!$B$2+1,FALSE)</f>
        <v>Aargau</v>
      </c>
      <c r="B29" s="115">
        <v>571882.00000001281</v>
      </c>
      <c r="C29" s="29">
        <v>126982.56123508926</v>
      </c>
      <c r="D29" s="30">
        <v>2.7317194452569207</v>
      </c>
      <c r="E29" s="31">
        <v>172621.69928395716</v>
      </c>
      <c r="F29" s="30">
        <v>2.2645429014439173</v>
      </c>
      <c r="G29" s="29">
        <v>37273.901414113599</v>
      </c>
      <c r="H29" s="32">
        <v>5.7513801661981008</v>
      </c>
      <c r="I29" s="34">
        <v>491.71162627849992</v>
      </c>
      <c r="J29" s="35">
        <v>54.874134656187344</v>
      </c>
      <c r="K29" s="31">
        <v>41510.073468651492</v>
      </c>
      <c r="L29" s="30">
        <v>5.6658779642157251</v>
      </c>
      <c r="M29" s="29">
        <v>8355.2497341163089</v>
      </c>
      <c r="N29" s="32">
        <v>12.649263631444168</v>
      </c>
      <c r="O29" s="29">
        <v>181445.67774948146</v>
      </c>
      <c r="P29" s="30">
        <v>2.1885634332066224</v>
      </c>
      <c r="Q29" s="29">
        <v>3201.1254883249721</v>
      </c>
      <c r="R29" s="33">
        <v>19.89689924893645</v>
      </c>
    </row>
    <row r="30" spans="1:18" s="76" customFormat="1" ht="12.75" x14ac:dyDescent="0.2">
      <c r="A30" s="7" t="str">
        <f>VLOOKUP("&lt;Zeilentitel_16&gt;",Uebersetzungen!$B$3:$E$63,Uebersetzungen!$B$2+1,FALSE)</f>
        <v>Zürich</v>
      </c>
      <c r="B30" s="117">
        <v>1276291.0000000084</v>
      </c>
      <c r="C30" s="29">
        <v>341221.48208038002</v>
      </c>
      <c r="D30" s="30">
        <v>1.6257577978363309</v>
      </c>
      <c r="E30" s="31">
        <v>317363.29332989734</v>
      </c>
      <c r="F30" s="30">
        <v>1.7610233900271135</v>
      </c>
      <c r="G30" s="29">
        <v>83448.380445981966</v>
      </c>
      <c r="H30" s="32">
        <v>3.8946310444920011</v>
      </c>
      <c r="I30" s="29">
        <v>5253.6518401514822</v>
      </c>
      <c r="J30" s="30">
        <v>15.890653205396143</v>
      </c>
      <c r="K30" s="31">
        <v>82414.637090533535</v>
      </c>
      <c r="L30" s="30">
        <v>4.0942523127611485</v>
      </c>
      <c r="M30" s="29">
        <v>22132.146934640441</v>
      </c>
      <c r="N30" s="32">
        <v>7.8343962460596392</v>
      </c>
      <c r="O30" s="29">
        <v>417090.01198992378</v>
      </c>
      <c r="P30" s="30">
        <v>1.4659360737184457</v>
      </c>
      <c r="Q30" s="29">
        <v>7367.3962884999646</v>
      </c>
      <c r="R30" s="33">
        <v>13.384563942360408</v>
      </c>
    </row>
    <row r="31" spans="1:18" s="76" customFormat="1" ht="12.75" x14ac:dyDescent="0.2">
      <c r="A31" s="56" t="str">
        <f>VLOOKUP("&lt;Zeilentitel_17&gt;",Uebersetzungen!$B$3:$E$63,Uebersetzungen!$B$2+1,FALSE)</f>
        <v>Ostschweiz</v>
      </c>
      <c r="B31" s="114">
        <v>990423.00000000582</v>
      </c>
      <c r="C31" s="57">
        <v>256820.83608636374</v>
      </c>
      <c r="D31" s="58">
        <v>1.8679088368993806</v>
      </c>
      <c r="E31" s="59">
        <v>364132.8785985072</v>
      </c>
      <c r="F31" s="58">
        <v>1.4654179082634606</v>
      </c>
      <c r="G31" s="57">
        <v>60043.054233220893</v>
      </c>
      <c r="H31" s="60">
        <v>4.519136784784556</v>
      </c>
      <c r="I31" s="64">
        <v>1046.1813177997842</v>
      </c>
      <c r="J31" s="63">
        <v>37.275654038410018</v>
      </c>
      <c r="K31" s="59">
        <v>62966.01910440925</v>
      </c>
      <c r="L31" s="58">
        <v>4.5531669048132883</v>
      </c>
      <c r="M31" s="57">
        <v>10801.282655637662</v>
      </c>
      <c r="N31" s="60">
        <v>10.991688964456735</v>
      </c>
      <c r="O31" s="57">
        <v>228724.62937439934</v>
      </c>
      <c r="P31" s="58">
        <v>2.0829928120129195</v>
      </c>
      <c r="Q31" s="57">
        <v>5888.1186296678898</v>
      </c>
      <c r="R31" s="61">
        <v>14.752975897709076</v>
      </c>
    </row>
    <row r="32" spans="1:18" s="76" customFormat="1" ht="12.75" x14ac:dyDescent="0.2">
      <c r="A32" s="7" t="str">
        <f>VLOOKUP("&lt;Zeilentitel_18&gt;",Uebersetzungen!$B$3:$E$63,Uebersetzungen!$B$2+1,FALSE)</f>
        <v>Glarus</v>
      </c>
      <c r="B32" s="115">
        <v>33983.000000000553</v>
      </c>
      <c r="C32" s="29">
        <v>10515.773673196531</v>
      </c>
      <c r="D32" s="30">
        <v>9.133388301175799</v>
      </c>
      <c r="E32" s="31">
        <v>10223.625363431904</v>
      </c>
      <c r="F32" s="30">
        <v>9.4937603646076845</v>
      </c>
      <c r="G32" s="36">
        <v>1650.3979435480392</v>
      </c>
      <c r="H32" s="37">
        <v>27.332082160580093</v>
      </c>
      <c r="I32" s="38" t="s">
        <v>1</v>
      </c>
      <c r="J32" s="30" t="s">
        <v>1</v>
      </c>
      <c r="K32" s="31">
        <v>2469.6438916575225</v>
      </c>
      <c r="L32" s="30">
        <v>23.126278660238135</v>
      </c>
      <c r="M32" s="34">
        <v>573.23725091931703</v>
      </c>
      <c r="N32" s="37">
        <v>48.4152268929314</v>
      </c>
      <c r="O32" s="29">
        <v>8441.4326521715975</v>
      </c>
      <c r="P32" s="30">
        <v>10.794040231893813</v>
      </c>
      <c r="Q32" s="38" t="s">
        <v>1</v>
      </c>
      <c r="R32" s="33" t="s">
        <v>1</v>
      </c>
    </row>
    <row r="33" spans="1:18" s="76" customFormat="1" ht="12.75" x14ac:dyDescent="0.2">
      <c r="A33" s="7" t="str">
        <f>VLOOKUP("&lt;Zeilentitel_19&gt;",Uebersetzungen!$B$3:$E$63,Uebersetzungen!$B$2+1,FALSE)</f>
        <v>Schaffhausen</v>
      </c>
      <c r="B33" s="115">
        <v>69345.000000000917</v>
      </c>
      <c r="C33" s="29">
        <v>22583.974713614909</v>
      </c>
      <c r="D33" s="30">
        <v>6.0762522750215471</v>
      </c>
      <c r="E33" s="31">
        <v>14605.61753569619</v>
      </c>
      <c r="F33" s="30">
        <v>8.2884811911570075</v>
      </c>
      <c r="G33" s="29">
        <v>5868.4705485051863</v>
      </c>
      <c r="H33" s="32">
        <v>14.162950267062477</v>
      </c>
      <c r="I33" s="38">
        <v>239.01778197201594</v>
      </c>
      <c r="J33" s="30">
        <v>79.70427870851816</v>
      </c>
      <c r="K33" s="31">
        <v>4744.3897347558031</v>
      </c>
      <c r="L33" s="30">
        <v>16.66469231895023</v>
      </c>
      <c r="M33" s="36">
        <v>905.67902131727692</v>
      </c>
      <c r="N33" s="37">
        <v>37.229385011412127</v>
      </c>
      <c r="O33" s="29">
        <v>19911.625662663511</v>
      </c>
      <c r="P33" s="30">
        <v>6.7710001883790323</v>
      </c>
      <c r="Q33" s="34">
        <v>486.22500147602489</v>
      </c>
      <c r="R33" s="40">
        <v>51.923271250260512</v>
      </c>
    </row>
    <row r="34" spans="1:18" s="76" customFormat="1" ht="12.75" x14ac:dyDescent="0.2">
      <c r="A34" s="7" t="str">
        <f>VLOOKUP("&lt;Zeilentitel_20&gt;",Uebersetzungen!$B$3:$E$63,Uebersetzungen!$B$2+1,FALSE)</f>
        <v>Appenzell Ausserrhoden</v>
      </c>
      <c r="B34" s="115">
        <v>45950.000000000582</v>
      </c>
      <c r="C34" s="29">
        <v>17286.431406680538</v>
      </c>
      <c r="D34" s="30">
        <v>6.9228710999712364</v>
      </c>
      <c r="E34" s="31">
        <v>12749.581426325303</v>
      </c>
      <c r="F34" s="30">
        <v>8.7704489458589414</v>
      </c>
      <c r="G34" s="29">
        <v>3606.1393735070687</v>
      </c>
      <c r="H34" s="32">
        <v>19.196766817793897</v>
      </c>
      <c r="I34" s="38" t="s">
        <v>1</v>
      </c>
      <c r="J34" s="30" t="s">
        <v>1</v>
      </c>
      <c r="K34" s="39">
        <v>1467.5455243955273</v>
      </c>
      <c r="L34" s="35">
        <v>31.278919990314055</v>
      </c>
      <c r="M34" s="34">
        <v>511.01971854079767</v>
      </c>
      <c r="N34" s="37">
        <v>56.321632338997659</v>
      </c>
      <c r="O34" s="29">
        <v>9981.7243351327379</v>
      </c>
      <c r="P34" s="30">
        <v>10.490767778528717</v>
      </c>
      <c r="Q34" s="34">
        <v>270.68591742152194</v>
      </c>
      <c r="R34" s="40">
        <v>73.548110201647674</v>
      </c>
    </row>
    <row r="35" spans="1:18" s="76" customFormat="1" ht="12.75" x14ac:dyDescent="0.2">
      <c r="A35" s="7" t="str">
        <f>VLOOKUP("&lt;Zeilentitel_21&gt;",Uebersetzungen!$B$3:$E$63,Uebersetzungen!$B$2+1,FALSE)</f>
        <v>Appenzell Innerrhoden</v>
      </c>
      <c r="B35" s="115">
        <v>13269.999999999984</v>
      </c>
      <c r="C35" s="29">
        <v>1222.8266836752457</v>
      </c>
      <c r="D35" s="30">
        <v>29.192343288661434</v>
      </c>
      <c r="E35" s="31">
        <v>9816.0158234695391</v>
      </c>
      <c r="F35" s="30">
        <v>5.985230894406592</v>
      </c>
      <c r="G35" s="34" t="s">
        <v>1</v>
      </c>
      <c r="H35" s="37" t="s">
        <v>1</v>
      </c>
      <c r="I35" s="38" t="s">
        <v>1</v>
      </c>
      <c r="J35" s="30" t="s">
        <v>1</v>
      </c>
      <c r="K35" s="41">
        <v>321.38876688191397</v>
      </c>
      <c r="L35" s="35">
        <v>61.849917434463265</v>
      </c>
      <c r="M35" s="34" t="s">
        <v>1</v>
      </c>
      <c r="N35" s="37" t="s">
        <v>1</v>
      </c>
      <c r="O35" s="36">
        <v>1450.2084436546181</v>
      </c>
      <c r="P35" s="35">
        <v>28.356592039670449</v>
      </c>
      <c r="Q35" s="38">
        <v>194.65931005879764</v>
      </c>
      <c r="R35" s="33">
        <v>87.003895145073557</v>
      </c>
    </row>
    <row r="36" spans="1:18" s="76" customFormat="1" ht="12.75" x14ac:dyDescent="0.2">
      <c r="A36" s="7" t="str">
        <f>VLOOKUP("&lt;Zeilentitel_22&gt;",Uebersetzungen!$B$3:$E$63,Uebersetzungen!$B$2+1,FALSE)</f>
        <v>St. Gallen</v>
      </c>
      <c r="B36" s="115">
        <v>424720.99999999924</v>
      </c>
      <c r="C36" s="29">
        <v>82059.550096047067</v>
      </c>
      <c r="D36" s="30">
        <v>3.4631506263155187</v>
      </c>
      <c r="E36" s="31">
        <v>178289.03133542792</v>
      </c>
      <c r="F36" s="30">
        <v>2.0207297041678207</v>
      </c>
      <c r="G36" s="29">
        <v>27143.822930195776</v>
      </c>
      <c r="H36" s="32">
        <v>6.7143958986530734</v>
      </c>
      <c r="I36" s="34">
        <v>400.47118821760972</v>
      </c>
      <c r="J36" s="35">
        <v>59.538273691682853</v>
      </c>
      <c r="K36" s="31">
        <v>35205.475371283821</v>
      </c>
      <c r="L36" s="30">
        <v>6.0181197195744005</v>
      </c>
      <c r="M36" s="29">
        <v>5527.6813542239006</v>
      </c>
      <c r="N36" s="32">
        <v>15.131468775306494</v>
      </c>
      <c r="O36" s="29">
        <v>93563.379371397241</v>
      </c>
      <c r="P36" s="30">
        <v>3.2787101468072262</v>
      </c>
      <c r="Q36" s="29">
        <v>2531.5883532058106</v>
      </c>
      <c r="R36" s="33">
        <v>22.387050751853732</v>
      </c>
    </row>
    <row r="37" spans="1:18" s="76" customFormat="1" ht="12.75" x14ac:dyDescent="0.2">
      <c r="A37" s="65" t="str">
        <f>VLOOKUP("&lt;Zeilentitel_23&gt;",Uebersetzungen!$B$3:$E$63,Uebersetzungen!$B$2+1,FALSE)</f>
        <v>Graubünden</v>
      </c>
      <c r="B37" s="118">
        <v>170045.00000000157</v>
      </c>
      <c r="C37" s="66">
        <v>53583.437590036767</v>
      </c>
      <c r="D37" s="67">
        <v>3.9912007800231173</v>
      </c>
      <c r="E37" s="68">
        <v>68400.700523988606</v>
      </c>
      <c r="F37" s="67">
        <v>3.345672674262719</v>
      </c>
      <c r="G37" s="66">
        <v>7003.1861961116701</v>
      </c>
      <c r="H37" s="69">
        <v>13.425784052808687</v>
      </c>
      <c r="I37" s="70" t="s">
        <v>1</v>
      </c>
      <c r="J37" s="67" t="s">
        <v>1</v>
      </c>
      <c r="K37" s="68">
        <v>2436.8399021182986</v>
      </c>
      <c r="L37" s="67">
        <v>23.929414762585868</v>
      </c>
      <c r="M37" s="71">
        <v>1524.8320243369756</v>
      </c>
      <c r="N37" s="72">
        <v>29.063271340459096</v>
      </c>
      <c r="O37" s="66">
        <v>36193.015746025187</v>
      </c>
      <c r="P37" s="67">
        <v>5.2962805871378071</v>
      </c>
      <c r="Q37" s="73">
        <v>802.26985251212284</v>
      </c>
      <c r="R37" s="74">
        <v>39.716195202994363</v>
      </c>
    </row>
    <row r="38" spans="1:18" s="76" customFormat="1" ht="12.75" x14ac:dyDescent="0.2">
      <c r="A38" s="7" t="str">
        <f>VLOOKUP("&lt;Zeilentitel_24&gt;",Uebersetzungen!$B$3:$E$63,Uebersetzungen!$B$2+1,FALSE)</f>
        <v>Thurgau</v>
      </c>
      <c r="B38" s="115">
        <v>233109.00000000297</v>
      </c>
      <c r="C38" s="29">
        <v>69568.841923112661</v>
      </c>
      <c r="D38" s="30">
        <v>3.5203767084581754</v>
      </c>
      <c r="E38" s="31">
        <v>70048.306590167733</v>
      </c>
      <c r="F38" s="30">
        <v>3.570024329913533</v>
      </c>
      <c r="G38" s="29">
        <v>14628.169436137063</v>
      </c>
      <c r="H38" s="32">
        <v>9.0798896731908503</v>
      </c>
      <c r="I38" s="34">
        <v>229.10188474109685</v>
      </c>
      <c r="J38" s="35">
        <v>81.608971785621478</v>
      </c>
      <c r="K38" s="31">
        <v>16320.735913316365</v>
      </c>
      <c r="L38" s="30">
        <v>9.0651304729907061</v>
      </c>
      <c r="M38" s="29">
        <v>1636.8001192556169</v>
      </c>
      <c r="N38" s="32">
        <v>29.052304160480702</v>
      </c>
      <c r="O38" s="29">
        <v>59183.243163354455</v>
      </c>
      <c r="P38" s="30">
        <v>4.0340589895341914</v>
      </c>
      <c r="Q38" s="29">
        <v>1493.8009699179684</v>
      </c>
      <c r="R38" s="33">
        <v>28.797930429204289</v>
      </c>
    </row>
    <row r="39" spans="1:18" s="76" customFormat="1" ht="12.75" x14ac:dyDescent="0.2">
      <c r="A39" s="56" t="str">
        <f>VLOOKUP("&lt;Zeilentitel_25&gt;",Uebersetzungen!$B$3:$E$63,Uebersetzungen!$B$2+1,FALSE)</f>
        <v>Zentralschweiz</v>
      </c>
      <c r="B39" s="116">
        <v>681378.00000000116</v>
      </c>
      <c r="C39" s="57">
        <v>69685.45500106689</v>
      </c>
      <c r="D39" s="58">
        <v>3.2302734345846789</v>
      </c>
      <c r="E39" s="59">
        <v>395364.96628566762</v>
      </c>
      <c r="F39" s="58">
        <v>0.923268987119367</v>
      </c>
      <c r="G39" s="57">
        <v>29028.686152187052</v>
      </c>
      <c r="H39" s="60">
        <v>5.3726816002178888</v>
      </c>
      <c r="I39" s="64">
        <v>546.69828490309737</v>
      </c>
      <c r="J39" s="63">
        <v>37.104822551596243</v>
      </c>
      <c r="K39" s="59">
        <v>29238.044559913895</v>
      </c>
      <c r="L39" s="58">
        <v>5.5130689707131424</v>
      </c>
      <c r="M39" s="57">
        <v>8376.4374505137421</v>
      </c>
      <c r="N39" s="60">
        <v>10.188800829397527</v>
      </c>
      <c r="O39" s="57">
        <v>145863.46999687885</v>
      </c>
      <c r="P39" s="58">
        <v>2.1191981372753586</v>
      </c>
      <c r="Q39" s="57">
        <v>3274.2422688700417</v>
      </c>
      <c r="R39" s="61">
        <v>15.23855514703304</v>
      </c>
    </row>
    <row r="40" spans="1:18" s="76" customFormat="1" ht="12.75" x14ac:dyDescent="0.2">
      <c r="A40" s="7" t="str">
        <f>VLOOKUP("&lt;Zeilentitel_26&gt;",Uebersetzungen!$B$3:$E$63,Uebersetzungen!$B$2+1,FALSE)</f>
        <v>Luzern</v>
      </c>
      <c r="B40" s="115">
        <v>342000.99999999895</v>
      </c>
      <c r="C40" s="29">
        <v>32076.179952018778</v>
      </c>
      <c r="D40" s="30">
        <v>4.1200620479829251</v>
      </c>
      <c r="E40" s="31">
        <v>201100.53621438934</v>
      </c>
      <c r="F40" s="30">
        <v>1.1118839837763941</v>
      </c>
      <c r="G40" s="29">
        <v>14496.031708843499</v>
      </c>
      <c r="H40" s="32">
        <v>6.6843715059205211</v>
      </c>
      <c r="I40" s="34">
        <v>264.6992701434574</v>
      </c>
      <c r="J40" s="35">
        <v>49.823347861003818</v>
      </c>
      <c r="K40" s="31">
        <v>16475.757587752349</v>
      </c>
      <c r="L40" s="30">
        <v>6.5606640688111622</v>
      </c>
      <c r="M40" s="29">
        <v>4222.9442037144518</v>
      </c>
      <c r="N40" s="32">
        <v>12.525536663448559</v>
      </c>
      <c r="O40" s="29">
        <v>71434.477478325047</v>
      </c>
      <c r="P40" s="30">
        <v>2.6250927693560233</v>
      </c>
      <c r="Q40" s="29">
        <v>1930.3735848120355</v>
      </c>
      <c r="R40" s="33">
        <v>17.951497270306582</v>
      </c>
    </row>
    <row r="41" spans="1:18" s="76" customFormat="1" ht="12.75" x14ac:dyDescent="0.2">
      <c r="A41" s="7" t="str">
        <f>VLOOKUP("&lt;Zeilentitel_27&gt;",Uebersetzungen!$B$3:$E$63,Uebersetzungen!$B$2+1,FALSE)</f>
        <v>Uri</v>
      </c>
      <c r="B41" s="115">
        <v>30466.000000000255</v>
      </c>
      <c r="C41" s="34">
        <v>1533.1202796243842</v>
      </c>
      <c r="D41" s="35">
        <v>27.531231712211401</v>
      </c>
      <c r="E41" s="31">
        <v>22795.014646076157</v>
      </c>
      <c r="F41" s="30">
        <v>3.8109027120440251</v>
      </c>
      <c r="G41" s="34">
        <v>729.22978928963596</v>
      </c>
      <c r="H41" s="37">
        <v>42.962748413253934</v>
      </c>
      <c r="I41" s="29" t="s">
        <v>1</v>
      </c>
      <c r="J41" s="30" t="s">
        <v>1</v>
      </c>
      <c r="K41" s="41">
        <v>549.76411830771337</v>
      </c>
      <c r="L41" s="35">
        <v>48.072269985110509</v>
      </c>
      <c r="M41" s="34">
        <v>264.47799683834859</v>
      </c>
      <c r="N41" s="37">
        <v>68.184605341528922</v>
      </c>
      <c r="O41" s="29">
        <v>4488.9655561077825</v>
      </c>
      <c r="P41" s="30">
        <v>15.659532412600422</v>
      </c>
      <c r="Q41" s="38" t="s">
        <v>1</v>
      </c>
      <c r="R41" s="33" t="s">
        <v>1</v>
      </c>
    </row>
    <row r="42" spans="1:18" s="76" customFormat="1" ht="12.75" x14ac:dyDescent="0.2">
      <c r="A42" s="7" t="str">
        <f>VLOOKUP("&lt;Zeilentitel_28&gt;",Uebersetzungen!$B$3:$E$63,Uebersetzungen!$B$2+1,FALSE)</f>
        <v>Schwyz</v>
      </c>
      <c r="B42" s="115">
        <v>134575.0000000016</v>
      </c>
      <c r="C42" s="29">
        <v>15214.819933972864</v>
      </c>
      <c r="D42" s="30">
        <v>8.4603545637163204</v>
      </c>
      <c r="E42" s="31">
        <v>76060.401367442289</v>
      </c>
      <c r="F42" s="30">
        <v>2.6573520131435999</v>
      </c>
      <c r="G42" s="29">
        <v>5963.2905919590021</v>
      </c>
      <c r="H42" s="32">
        <v>14.925875040172933</v>
      </c>
      <c r="I42" s="34" t="s">
        <v>1</v>
      </c>
      <c r="J42" s="35" t="s">
        <v>1</v>
      </c>
      <c r="K42" s="31">
        <v>5749.1916425571626</v>
      </c>
      <c r="L42" s="30">
        <v>15.718161975253446</v>
      </c>
      <c r="M42" s="36">
        <v>1747.0637953397163</v>
      </c>
      <c r="N42" s="37">
        <v>28.450863119295391</v>
      </c>
      <c r="O42" s="29">
        <v>29367.818018842889</v>
      </c>
      <c r="P42" s="30">
        <v>5.8743984246577687</v>
      </c>
      <c r="Q42" s="34">
        <v>401.393645250828</v>
      </c>
      <c r="R42" s="40">
        <v>55.906032329411076</v>
      </c>
    </row>
    <row r="43" spans="1:18" s="76" customFormat="1" ht="12.75" x14ac:dyDescent="0.2">
      <c r="A43" s="7" t="str">
        <f>VLOOKUP("&lt;Zeilentitel_29&gt;",Uebersetzungen!$B$3:$E$63,Uebersetzungen!$B$2+1,FALSE)</f>
        <v>Obwalden</v>
      </c>
      <c r="B43" s="115">
        <v>31675.000000000393</v>
      </c>
      <c r="C43" s="29">
        <v>3280.2416906921799</v>
      </c>
      <c r="D43" s="30">
        <v>18.389140470081312</v>
      </c>
      <c r="E43" s="31">
        <v>21562.537769661194</v>
      </c>
      <c r="F43" s="30">
        <v>4.3145128907366743</v>
      </c>
      <c r="G43" s="34">
        <v>785.43324986956884</v>
      </c>
      <c r="H43" s="37">
        <v>40.305890937954821</v>
      </c>
      <c r="I43" s="38" t="s">
        <v>1</v>
      </c>
      <c r="J43" s="30" t="s">
        <v>1</v>
      </c>
      <c r="K43" s="39">
        <v>793.45877510182811</v>
      </c>
      <c r="L43" s="35">
        <v>41.266845854712166</v>
      </c>
      <c r="M43" s="34">
        <v>199.89963632758653</v>
      </c>
      <c r="N43" s="37">
        <v>87.507139948878205</v>
      </c>
      <c r="O43" s="29">
        <v>4991.7973020806548</v>
      </c>
      <c r="P43" s="30">
        <v>14.892366193773881</v>
      </c>
      <c r="Q43" s="34" t="s">
        <v>1</v>
      </c>
      <c r="R43" s="40" t="s">
        <v>1</v>
      </c>
    </row>
    <row r="44" spans="1:18" s="76" customFormat="1" ht="12.75" x14ac:dyDescent="0.2">
      <c r="A44" s="7" t="str">
        <f>VLOOKUP("&lt;Zeilentitel_30&gt;",Uebersetzungen!$B$3:$E$63,Uebersetzungen!$B$2+1,FALSE)</f>
        <v>Nidwalden</v>
      </c>
      <c r="B44" s="115">
        <v>36616.000000000065</v>
      </c>
      <c r="C44" s="29">
        <v>4130.7065279272838</v>
      </c>
      <c r="D44" s="30">
        <v>16.014377144996626</v>
      </c>
      <c r="E44" s="31">
        <v>22939.759368692088</v>
      </c>
      <c r="F44" s="30">
        <v>4.5153897218754073</v>
      </c>
      <c r="G44" s="34">
        <v>1089.4139560127014</v>
      </c>
      <c r="H44" s="37">
        <v>32.780593564712539</v>
      </c>
      <c r="I44" s="38" t="s">
        <v>1</v>
      </c>
      <c r="J44" s="30" t="s">
        <v>1</v>
      </c>
      <c r="K44" s="41">
        <v>600.43162401627706</v>
      </c>
      <c r="L44" s="35">
        <v>50.825632933467084</v>
      </c>
      <c r="M44" s="38">
        <v>245.75437412446462</v>
      </c>
      <c r="N44" s="32">
        <v>73.172038546727663</v>
      </c>
      <c r="O44" s="29">
        <v>7409.6539584235452</v>
      </c>
      <c r="P44" s="30">
        <v>11.629727244582247</v>
      </c>
      <c r="Q44" s="34">
        <v>200.2801908037062</v>
      </c>
      <c r="R44" s="40">
        <v>79.194694916618644</v>
      </c>
    </row>
    <row r="45" spans="1:18" s="76" customFormat="1" ht="12.75" x14ac:dyDescent="0.2">
      <c r="A45" s="7" t="str">
        <f>VLOOKUP("&lt;Zeilentitel_31&gt;",Uebersetzungen!$B$3:$E$63,Uebersetzungen!$B$2+1,FALSE)</f>
        <v>Zug</v>
      </c>
      <c r="B45" s="115">
        <v>106044.99999999987</v>
      </c>
      <c r="C45" s="29">
        <v>13450.386616831407</v>
      </c>
      <c r="D45" s="30">
        <v>6.1491035316691951</v>
      </c>
      <c r="E45" s="31">
        <v>50906.716919406528</v>
      </c>
      <c r="F45" s="30">
        <v>2.4429274396139267</v>
      </c>
      <c r="G45" s="29">
        <v>5965.2868562126441</v>
      </c>
      <c r="H45" s="32">
        <v>10.270702017968169</v>
      </c>
      <c r="I45" s="34">
        <v>179.25756424743616</v>
      </c>
      <c r="J45" s="35">
        <v>57.378283154817851</v>
      </c>
      <c r="K45" s="31">
        <v>5069.4408121785636</v>
      </c>
      <c r="L45" s="30">
        <v>11.554039669403695</v>
      </c>
      <c r="M45" s="29">
        <v>1696.2974441691749</v>
      </c>
      <c r="N45" s="32">
        <v>19.20131212200932</v>
      </c>
      <c r="O45" s="29">
        <v>28170.757683098916</v>
      </c>
      <c r="P45" s="30">
        <v>4.0052262893253658</v>
      </c>
      <c r="Q45" s="34">
        <v>606.85610385520079</v>
      </c>
      <c r="R45" s="40">
        <v>31.247246245403236</v>
      </c>
    </row>
    <row r="46" spans="1:18" s="76" customFormat="1" ht="13.5" thickBot="1" x14ac:dyDescent="0.25">
      <c r="A46" s="129" t="str">
        <f>VLOOKUP("&lt;Zeilentitel_32&gt;",Uebersetzungen!$B$3:$E$63,Uebersetzungen!$B$2+1,FALSE)</f>
        <v>Tessin</v>
      </c>
      <c r="B46" s="130">
        <v>299825.99999999761</v>
      </c>
      <c r="C46" s="131">
        <v>11787.5661468545</v>
      </c>
      <c r="D46" s="132">
        <v>7.0244227436347346</v>
      </c>
      <c r="E46" s="133">
        <v>188285.28407998831</v>
      </c>
      <c r="F46" s="132">
        <v>1.0954749577467826</v>
      </c>
      <c r="G46" s="131">
        <v>15330.672740589564</v>
      </c>
      <c r="H46" s="134">
        <v>6.3480615688870738</v>
      </c>
      <c r="I46" s="135">
        <v>309.02223152215254</v>
      </c>
      <c r="J46" s="136">
        <v>46.539461728782292</v>
      </c>
      <c r="K46" s="133">
        <v>5833.4629062903286</v>
      </c>
      <c r="L46" s="132">
        <v>10.932197158975681</v>
      </c>
      <c r="M46" s="131">
        <v>2045.5620677597585</v>
      </c>
      <c r="N46" s="134">
        <v>18.30540956128619</v>
      </c>
      <c r="O46" s="131">
        <v>72673.48158216833</v>
      </c>
      <c r="P46" s="132">
        <v>2.5819325142609242</v>
      </c>
      <c r="Q46" s="131">
        <v>3560.9482448246386</v>
      </c>
      <c r="R46" s="137">
        <v>13.127359544502891</v>
      </c>
    </row>
    <row r="47" spans="1:18" s="76" customFormat="1" ht="12.75" x14ac:dyDescent="0.2">
      <c r="A47" s="8"/>
      <c r="B47" s="5"/>
      <c r="C47" s="9"/>
      <c r="D47" s="10"/>
      <c r="E47" s="10"/>
      <c r="F47" s="10"/>
      <c r="G47" s="11"/>
      <c r="H47" s="12"/>
      <c r="I47" s="11"/>
      <c r="J47" s="12"/>
      <c r="K47" s="11"/>
      <c r="L47" s="12"/>
      <c r="M47" s="11"/>
      <c r="N47" s="12"/>
      <c r="O47" s="11"/>
      <c r="P47" s="12"/>
      <c r="Q47" s="11"/>
      <c r="R47" s="12"/>
    </row>
    <row r="48" spans="1:18" s="76" customFormat="1" ht="12.75" x14ac:dyDescent="0.2">
      <c r="A48" s="16" t="str">
        <f>VLOOKUP("&lt;Legende_1&gt;",Uebersetzungen!$B$3:$E$63,Uebersetzungen!$B$2+1,FALSE)</f>
        <v xml:space="preserve">Ab 2010 stammen die Daten aus einer Stichprobenerhebung der ständigen Wohnbevölkerung ab vollendetem 15. Altersjahr, die in Privathaushalten lebt. </v>
      </c>
      <c r="B48" s="5"/>
      <c r="C48" s="9"/>
      <c r="D48" s="10"/>
      <c r="E48" s="10"/>
      <c r="F48" s="10"/>
      <c r="G48" s="11"/>
      <c r="H48" s="12"/>
      <c r="I48" s="11"/>
      <c r="J48" s="12"/>
      <c r="K48" s="11"/>
      <c r="L48" s="12"/>
      <c r="M48" s="11"/>
      <c r="N48" s="12"/>
      <c r="O48" s="11"/>
      <c r="P48" s="12"/>
      <c r="Q48" s="11"/>
      <c r="R48" s="12"/>
    </row>
    <row r="49" spans="1:18" s="76" customFormat="1" ht="12.75" x14ac:dyDescent="0.2">
      <c r="A49" s="16" t="str">
        <f>VLOOKUP("&lt;Legende_2&gt;",Uebersetzungen!$B$3:$E$63,Uebersetzungen!$B$2+1,FALSE)</f>
        <v>Nicht befragt wurden Diplomaten, internationale Funktionäre und deren Familienangehörige. Diese Daten sind mit jenen der frühreren Jahre nicht direkt vergleichbar.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s="76" customFormat="1" ht="12.75" x14ac:dyDescent="0.2">
      <c r="A50" s="16" t="str">
        <f>VLOOKUP("&lt;Legende_3&gt;",Uebersetzungen!$B$3:$E$63,Uebersetzungen!$B$2+1,FALSE)</f>
        <v>Das Vertrauensintervall zeigt die Genauigkeit der Resultate einer Stichprobenerhebung.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1:18" s="76" customFormat="1" ht="12.75" x14ac:dyDescent="0.2">
      <c r="A51" s="16" t="str">
        <f>VLOOKUP("&lt;Legende_4&gt;",Uebersetzungen!$B$3:$E$63,Uebersetzungen!$B$2+1,FALSE)</f>
        <v>(): Extrapolation aufgrund von 49 oder weniger Beobachtungen. Die Resultate sind mit grosser Vorsicht zu interpretieren.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s="76" customFormat="1" ht="12.75" x14ac:dyDescent="0.2">
      <c r="A52" s="13" t="str">
        <f>VLOOKUP("&lt;Legende_5&gt;",Uebersetzungen!$B$3:$E$63,Uebersetzungen!$B$2+1,FALSE)</f>
        <v>X: Extrapolation aufgrund von 4 oder weniger Beobachtungen. Die Resultate werden aus Gründen des Datenschutzes nicht publiziert.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s="76" customFormat="1" ht="12.75" x14ac:dyDescent="0.2">
      <c r="A53" s="13" t="str">
        <f>VLOOKUP("&lt;Legende_6&gt;",Uebersetzungen!$B$3:$E$63,Uebersetzungen!$B$2+1,FALSE)</f>
        <v>* inkl. andere aus dem Islam hervorgegangene Gemeinschaften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 s="76" customFormat="1" ht="12.75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18" s="76" customFormat="1" ht="12.75" x14ac:dyDescent="0.2">
      <c r="A55" s="16" t="str">
        <f>VLOOKUP("&lt;quelle_1&gt;",Uebersetzungen!$B$3:$E$63,Uebersetzungen!$B$2+1,FALSE)</f>
        <v>Quelle: BFS (Strukturerhebung)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8" s="76" customFormat="1" ht="12.75" x14ac:dyDescent="0.2">
      <c r="A56" s="13" t="str">
        <f>VLOOKUP("&lt;aktualisierung&gt;",Uebersetzungen!$B$3:$E$213,Uebersetzungen!$B$2+1,FALSE)</f>
        <v>Letztmals aktualisiert am: 29.01.2026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</sheetData>
  <sheetProtection sheet="1" objects="1" scenarios="1"/>
  <mergeCells count="11">
    <mergeCell ref="Q13:R13"/>
    <mergeCell ref="A7:D7"/>
    <mergeCell ref="B12:R12"/>
    <mergeCell ref="B13:B14"/>
    <mergeCell ref="C13:D13"/>
    <mergeCell ref="E13:F13"/>
    <mergeCell ref="G13:H13"/>
    <mergeCell ref="I13:J13"/>
    <mergeCell ref="K13:L13"/>
    <mergeCell ref="M13:N13"/>
    <mergeCell ref="O13:P13"/>
  </mergeCells>
  <pageMargins left="0.7" right="0.7" top="0.75" bottom="0.75" header="0.3" footer="0.3"/>
  <pageSetup paperSize="9" orientation="portrait" r:id="rId1"/>
  <ignoredErrors>
    <ignoredError sqref="D14 F14 H14 J14 L14 N14 P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Option Button 1">
              <controlPr defaultSize="0" autoFill="0" autoLine="0" autoPict="0">
                <anchor moveWithCells="1">
                  <from>
                    <xdr:col>6</xdr:col>
                    <xdr:colOff>295275</xdr:colOff>
                    <xdr:row>1</xdr:row>
                    <xdr:rowOff>114300</xdr:rowOff>
                  </from>
                  <to>
                    <xdr:col>7</xdr:col>
                    <xdr:colOff>695325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Option Button 2">
              <controlPr defaultSize="0" autoFill="0" autoLine="0" autoPict="0">
                <anchor moveWithCells="1">
                  <from>
                    <xdr:col>6</xdr:col>
                    <xdr:colOff>295275</xdr:colOff>
                    <xdr:row>2</xdr:row>
                    <xdr:rowOff>104775</xdr:rowOff>
                  </from>
                  <to>
                    <xdr:col>8</xdr:col>
                    <xdr:colOff>276225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Option Button 3">
              <controlPr defaultSize="0" autoFill="0" autoLine="0" autoPict="0">
                <anchor moveWithCells="1">
                  <from>
                    <xdr:col>6</xdr:col>
                    <xdr:colOff>295275</xdr:colOff>
                    <xdr:row>3</xdr:row>
                    <xdr:rowOff>66675</xdr:rowOff>
                  </from>
                  <to>
                    <xdr:col>7</xdr:col>
                    <xdr:colOff>695325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56"/>
  <sheetViews>
    <sheetView showGridLines="0" workbookViewId="0"/>
  </sheetViews>
  <sheetFormatPr baseColWidth="10" defaultColWidth="9.140625" defaultRowHeight="14.25" x14ac:dyDescent="0.2"/>
  <cols>
    <col min="1" max="1" width="22.7109375" style="53" customWidth="1"/>
    <col min="2" max="2" width="9.140625" style="53" customWidth="1"/>
    <col min="3" max="18" width="12.42578125" style="53" customWidth="1"/>
    <col min="19" max="16384" width="9.140625" style="77"/>
  </cols>
  <sheetData>
    <row r="1" spans="1:18" s="75" customFormat="1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75" customFormat="1" ht="15.75" x14ac:dyDescent="0.25">
      <c r="A2" s="1"/>
      <c r="B2" s="15"/>
      <c r="C2" s="53"/>
      <c r="D2" s="5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75" customFormat="1" ht="15.75" x14ac:dyDescent="0.25">
      <c r="A3" s="1"/>
      <c r="B3" s="15"/>
      <c r="C3" s="53"/>
      <c r="D3" s="5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s="75" customFormat="1" ht="15.75" x14ac:dyDescent="0.25">
      <c r="A4" s="1"/>
      <c r="B4" s="15"/>
      <c r="C4" s="53"/>
      <c r="D4" s="5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75" customFormat="1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s="75" customFormat="1" ht="12.7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s="75" customFormat="1" ht="15.75" customHeight="1" x14ac:dyDescent="0.2">
      <c r="A7" s="146" t="str">
        <f>VLOOKUP("&lt;Fachbereich&gt;",Uebersetzungen!$B$3:$E$63,Uebersetzungen!$B$2+1,FALSE)</f>
        <v>Daten &amp; Statistik</v>
      </c>
      <c r="B7" s="146"/>
      <c r="C7" s="146"/>
      <c r="D7" s="146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</row>
    <row r="8" spans="1:18" s="75" customFormat="1" ht="12.7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s="76" customFormat="1" ht="18" x14ac:dyDescent="0.2">
      <c r="A9" s="19" t="str">
        <f>VLOOKUP("&lt;Titel&gt;",Uebersetzungen!$B$3:$E$63,Uebersetzungen!$B$2+1,FALSE)</f>
        <v>Religionszugehörigkeit nach Kanton</v>
      </c>
      <c r="B9" s="54"/>
      <c r="C9" s="55"/>
      <c r="D9" s="55"/>
      <c r="E9" s="55"/>
      <c r="F9" s="55"/>
      <c r="G9" s="55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s="76" customFormat="1" ht="12.75" x14ac:dyDescent="0.2">
      <c r="A10" s="20" t="str">
        <f>VLOOKUP("&lt;UTitel&gt;",Uebersetzungen!$B$3:$E$63,Uebersetzungen!$B$2+1,FALSE)</f>
        <v>Ständige Wohnbevölkerung ab 15 Jahren</v>
      </c>
      <c r="B10" s="54"/>
      <c r="C10" s="55"/>
      <c r="D10" s="55"/>
      <c r="E10" s="55"/>
      <c r="F10" s="55"/>
      <c r="G10" s="5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8.75" thickBot="1" x14ac:dyDescent="0.3">
      <c r="B11" s="17"/>
      <c r="C11" s="18"/>
      <c r="D11" s="4"/>
      <c r="E11" s="4"/>
      <c r="F11" s="4"/>
      <c r="G11" s="4"/>
      <c r="H11" s="4"/>
      <c r="I11" s="4"/>
      <c r="J11" s="4"/>
    </row>
    <row r="12" spans="1:18" s="78" customFormat="1" ht="18" x14ac:dyDescent="0.25">
      <c r="A12" s="3"/>
      <c r="B12" s="158">
        <v>2018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60"/>
    </row>
    <row r="13" spans="1:18" s="78" customFormat="1" ht="37.5" customHeight="1" x14ac:dyDescent="0.25">
      <c r="A13" s="3"/>
      <c r="B13" s="157" t="str">
        <f>VLOOKUP("&lt;SpaltenTitel_1&gt;",Uebersetzungen!$B$3:$E$63,Uebersetzungen!$B$2+1,FALSE)</f>
        <v>Total</v>
      </c>
      <c r="C13" s="152" t="str">
        <f>VLOOKUP("&lt;SpaltenTitel_2&gt;",Uebersetzungen!$B$3:$E$63,Uebersetzungen!$B$2+1,FALSE)</f>
        <v>Evangelisch-reformiert</v>
      </c>
      <c r="D13" s="152"/>
      <c r="E13" s="152" t="str">
        <f>VLOOKUP("&lt;SpaltenTitel_3&gt;",Uebersetzungen!$B$3:$E$63,Uebersetzungen!$B$2+1,FALSE)</f>
        <v>Römisch-katholisch</v>
      </c>
      <c r="F13" s="152"/>
      <c r="G13" s="152" t="str">
        <f>VLOOKUP("&lt;SpaltenTitel_4&gt;",Uebersetzungen!$B$3:$E$63,Uebersetzungen!$B$2+1,FALSE)</f>
        <v>Andere christliche Glaubensgemeinschaften</v>
      </c>
      <c r="H13" s="152"/>
      <c r="I13" s="152" t="str">
        <f>VLOOKUP("&lt;SpaltenTitel_5&gt;",Uebersetzungen!$B$3:$E$63,Uebersetzungen!$B$2+1,FALSE)</f>
        <v>Jüdische Glaubensgemeinschaften</v>
      </c>
      <c r="J13" s="152"/>
      <c r="K13" s="152" t="str">
        <f>VLOOKUP("&lt;SpaltenTitel_6&gt;",Uebersetzungen!$B$3:$E$63,Uebersetzungen!$B$2+1,FALSE)</f>
        <v>Islamische Glaubensgem.*</v>
      </c>
      <c r="L13" s="152"/>
      <c r="M13" s="152" t="str">
        <f>VLOOKUP("&lt;SpaltenTitel_7&gt;",Uebersetzungen!$B$3:$E$63,Uebersetzungen!$B$2+1,FALSE)</f>
        <v>Andere Religionsgemeinschaften</v>
      </c>
      <c r="N13" s="152"/>
      <c r="O13" s="152" t="str">
        <f>VLOOKUP("&lt;SpaltenTitel_8&gt;",Uebersetzungen!$B$3:$E$63,Uebersetzungen!$B$2+1,FALSE)</f>
        <v>Ohne Religionszugehörigkeit</v>
      </c>
      <c r="P13" s="152"/>
      <c r="Q13" s="152" t="str">
        <f>VLOOKUP("&lt;SpaltenTitel_9&gt;",Uebersetzungen!$B$3:$E$63,Uebersetzungen!$B$2+1,FALSE)</f>
        <v>Religionszugehörigkeit unbekannt</v>
      </c>
      <c r="R13" s="153"/>
    </row>
    <row r="14" spans="1:18" s="78" customFormat="1" ht="39" thickBot="1" x14ac:dyDescent="0.3">
      <c r="A14" s="6"/>
      <c r="B14" s="151"/>
      <c r="C14" s="112" t="str">
        <f>VLOOKUP("&lt;SpaltenTitel_2.1&gt;",Uebersetzungen!$B$3:$E$63,Uebersetzungen!$B$2+1,FALSE)</f>
        <v>Anzahl Personen</v>
      </c>
      <c r="D14" s="112" t="str">
        <f>VLOOKUP("&lt;SpaltenTitel_2.2&gt;",Uebersetzungen!$B$3:$E$63,Uebersetzungen!$B$2+1,FALSE)</f>
        <v>Vertrauens- intervall:          ± (in %)</v>
      </c>
      <c r="E14" s="112" t="str">
        <f>VLOOKUP("&lt;SpaltenTitel_2.1&gt;",Uebersetzungen!$B$3:$E$63,Uebersetzungen!$B$2+1,FALSE)</f>
        <v>Anzahl Personen</v>
      </c>
      <c r="F14" s="112" t="str">
        <f>VLOOKUP("&lt;SpaltenTitel_2.2&gt;",Uebersetzungen!$B$3:$E$63,Uebersetzungen!$B$2+1,FALSE)</f>
        <v>Vertrauens- intervall:          ± (in %)</v>
      </c>
      <c r="G14" s="112" t="str">
        <f>VLOOKUP("&lt;SpaltenTitel_2.1&gt;",Uebersetzungen!$B$3:$E$63,Uebersetzungen!$B$2+1,FALSE)</f>
        <v>Anzahl Personen</v>
      </c>
      <c r="H14" s="112" t="str">
        <f>VLOOKUP("&lt;SpaltenTitel_2.2&gt;",Uebersetzungen!$B$3:$E$63,Uebersetzungen!$B$2+1,FALSE)</f>
        <v>Vertrauens- intervall:          ± (in %)</v>
      </c>
      <c r="I14" s="112" t="str">
        <f>VLOOKUP("&lt;SpaltenTitel_2.1&gt;",Uebersetzungen!$B$3:$E$63,Uebersetzungen!$B$2+1,FALSE)</f>
        <v>Anzahl Personen</v>
      </c>
      <c r="J14" s="112" t="str">
        <f>VLOOKUP("&lt;SpaltenTitel_2.2&gt;",Uebersetzungen!$B$3:$E$63,Uebersetzungen!$B$2+1,FALSE)</f>
        <v>Vertrauens- intervall:          ± (in %)</v>
      </c>
      <c r="K14" s="112" t="str">
        <f>VLOOKUP("&lt;SpaltenTitel_2.1&gt;",Uebersetzungen!$B$3:$E$63,Uebersetzungen!$B$2+1,FALSE)</f>
        <v>Anzahl Personen</v>
      </c>
      <c r="L14" s="112" t="str">
        <f>VLOOKUP("&lt;SpaltenTitel_2.2&gt;",Uebersetzungen!$B$3:$E$63,Uebersetzungen!$B$2+1,FALSE)</f>
        <v>Vertrauens- intervall:          ± (in %)</v>
      </c>
      <c r="M14" s="112" t="str">
        <f>VLOOKUP("&lt;SpaltenTitel_2.1&gt;",Uebersetzungen!$B$3:$E$63,Uebersetzungen!$B$2+1,FALSE)</f>
        <v>Anzahl Personen</v>
      </c>
      <c r="N14" s="112" t="str">
        <f>VLOOKUP("&lt;SpaltenTitel_2.2&gt;",Uebersetzungen!$B$3:$E$63,Uebersetzungen!$B$2+1,FALSE)</f>
        <v>Vertrauens- intervall:          ± (in %)</v>
      </c>
      <c r="O14" s="112" t="str">
        <f>VLOOKUP("&lt;SpaltenTitel_2.1&gt;",Uebersetzungen!$B$3:$E$63,Uebersetzungen!$B$2+1,FALSE)</f>
        <v>Anzahl Personen</v>
      </c>
      <c r="P14" s="112" t="str">
        <f>VLOOKUP("&lt;SpaltenTitel_2.2&gt;",Uebersetzungen!$B$3:$E$63,Uebersetzungen!$B$2+1,FALSE)</f>
        <v>Vertrauens- intervall:          ± (in %)</v>
      </c>
      <c r="Q14" s="112" t="str">
        <f>VLOOKUP("&lt;SpaltenTitel_2.1&gt;",Uebersetzungen!$B$3:$E$63,Uebersetzungen!$B$2+1,FALSE)</f>
        <v>Anzahl Personen</v>
      </c>
      <c r="R14" s="113" t="str">
        <f>VLOOKUP("&lt;SpaltenTitel_2.2&gt;",Uebersetzungen!$B$3:$E$63,Uebersetzungen!$B$2+1,FALSE)</f>
        <v>Vertrauens- intervall:          ± (in %)</v>
      </c>
    </row>
    <row r="15" spans="1:18" s="76" customFormat="1" ht="12.75" x14ac:dyDescent="0.2">
      <c r="A15" s="14" t="str">
        <f>VLOOKUP("&lt;Zeilentitel_1&gt;",Uebersetzungen!$B$3:$E$63,Uebersetzungen!$B$2+1,FALSE)</f>
        <v>Total</v>
      </c>
      <c r="B15" s="28">
        <v>7084068.0000000251</v>
      </c>
      <c r="C15" s="108">
        <v>1635720.358318965</v>
      </c>
      <c r="D15" s="119">
        <v>0.68394688964821815</v>
      </c>
      <c r="E15" s="120">
        <v>2489596.2122085597</v>
      </c>
      <c r="F15" s="119">
        <v>0.49974852053949548</v>
      </c>
      <c r="G15" s="109">
        <v>397664.71224376652</v>
      </c>
      <c r="H15" s="121">
        <v>1.6591910854391065</v>
      </c>
      <c r="I15" s="109">
        <v>16289.307081775347</v>
      </c>
      <c r="J15" s="119">
        <v>8.0257528249941856</v>
      </c>
      <c r="K15" s="110">
        <v>376625.19092081831</v>
      </c>
      <c r="L15" s="119">
        <v>1.8148329832928753</v>
      </c>
      <c r="M15" s="109">
        <v>92134.564795434839</v>
      </c>
      <c r="N15" s="121">
        <v>3.5653052105074816</v>
      </c>
      <c r="O15" s="108">
        <v>1977101.6510282974</v>
      </c>
      <c r="P15" s="119">
        <v>0.62565241282320994</v>
      </c>
      <c r="Q15" s="109">
        <v>98936.003402405942</v>
      </c>
      <c r="R15" s="122">
        <v>3.2539654819101864</v>
      </c>
    </row>
    <row r="16" spans="1:18" s="76" customFormat="1" ht="12.75" x14ac:dyDescent="0.2">
      <c r="A16" s="56" t="str">
        <f>VLOOKUP("&lt;Zeilentitel_2&gt;",Uebersetzungen!$B$3:$E$63,Uebersetzungen!$B$2+1,FALSE)</f>
        <v>Genferseeregion</v>
      </c>
      <c r="B16" s="114">
        <v>1325243.0000000012</v>
      </c>
      <c r="C16" s="57">
        <v>194443.18419834829</v>
      </c>
      <c r="D16" s="58">
        <v>1.6293123916588934</v>
      </c>
      <c r="E16" s="59">
        <v>510807.66195430071</v>
      </c>
      <c r="F16" s="58">
        <v>0.90790900351698456</v>
      </c>
      <c r="G16" s="57">
        <v>69451.34703114767</v>
      </c>
      <c r="H16" s="60">
        <v>3.2044097566393965</v>
      </c>
      <c r="I16" s="57">
        <v>5762.8904478842342</v>
      </c>
      <c r="J16" s="58">
        <v>10.948837491961022</v>
      </c>
      <c r="K16" s="59">
        <v>65856.005112597661</v>
      </c>
      <c r="L16" s="58">
        <v>3.4445616233990237</v>
      </c>
      <c r="M16" s="57">
        <v>15191.208249264284</v>
      </c>
      <c r="N16" s="60">
        <v>6.97044849502785</v>
      </c>
      <c r="O16" s="57">
        <v>437564.68702925381</v>
      </c>
      <c r="P16" s="58">
        <v>1.0505191432209553</v>
      </c>
      <c r="Q16" s="57">
        <v>26166.015977204577</v>
      </c>
      <c r="R16" s="61">
        <v>5.2380381143933068</v>
      </c>
    </row>
    <row r="17" spans="1:18" s="76" customFormat="1" ht="12.75" x14ac:dyDescent="0.2">
      <c r="A17" s="7" t="str">
        <f>VLOOKUP("&lt;Zeilentitel_3&gt;",Uebersetzungen!$B$3:$E$63,Uebersetzungen!$B$2+1,FALSE)</f>
        <v>Waadt</v>
      </c>
      <c r="B17" s="115">
        <v>652434.99999999534</v>
      </c>
      <c r="C17" s="29">
        <v>145319.76998782958</v>
      </c>
      <c r="D17" s="30">
        <v>1.7292261066407544</v>
      </c>
      <c r="E17" s="31">
        <v>187089.02031305296</v>
      </c>
      <c r="F17" s="30">
        <v>1.5368141962982063</v>
      </c>
      <c r="G17" s="29">
        <v>39961.523718126547</v>
      </c>
      <c r="H17" s="32">
        <v>3.8844452218558301</v>
      </c>
      <c r="I17" s="29">
        <v>1873.3381023516113</v>
      </c>
      <c r="J17" s="30">
        <v>18.422810520006458</v>
      </c>
      <c r="K17" s="31">
        <v>33465.92743379825</v>
      </c>
      <c r="L17" s="30">
        <v>4.4736643924765378</v>
      </c>
      <c r="M17" s="29">
        <v>8673.0457986158035</v>
      </c>
      <c r="N17" s="32">
        <v>8.6335163636300063</v>
      </c>
      <c r="O17" s="29">
        <v>224179.15352274021</v>
      </c>
      <c r="P17" s="30">
        <v>1.3555548148029763</v>
      </c>
      <c r="Q17" s="29">
        <v>11873.221123480422</v>
      </c>
      <c r="R17" s="33">
        <v>7.114017922837979</v>
      </c>
    </row>
    <row r="18" spans="1:18" s="76" customFormat="1" ht="12.75" x14ac:dyDescent="0.2">
      <c r="A18" s="7" t="str">
        <f>VLOOKUP("&lt;Zeilentitel_4&gt;",Uebersetzungen!$B$3:$E$63,Uebersetzungen!$B$2+1,FALSE)</f>
        <v>Wallis</v>
      </c>
      <c r="B18" s="115">
        <v>287519.00000000623</v>
      </c>
      <c r="C18" s="29">
        <v>15038.227900254546</v>
      </c>
      <c r="D18" s="30">
        <v>8.788263432955441</v>
      </c>
      <c r="E18" s="31">
        <v>200012.23565518184</v>
      </c>
      <c r="F18" s="30">
        <v>1.3766242859245161</v>
      </c>
      <c r="G18" s="29">
        <v>8585.8312892157355</v>
      </c>
      <c r="H18" s="32">
        <v>12.314355013026887</v>
      </c>
      <c r="I18" s="34">
        <v>309.73521375977873</v>
      </c>
      <c r="J18" s="35">
        <v>64.465264210789414</v>
      </c>
      <c r="K18" s="31">
        <v>8876.2745953184658</v>
      </c>
      <c r="L18" s="30">
        <v>12.523934951427938</v>
      </c>
      <c r="M18" s="36">
        <v>1447.5112529084956</v>
      </c>
      <c r="N18" s="37">
        <v>30.31612223052981</v>
      </c>
      <c r="O18" s="29">
        <v>49350.141892463413</v>
      </c>
      <c r="P18" s="30">
        <v>4.6968485553355483</v>
      </c>
      <c r="Q18" s="29">
        <v>3899.0422009039567</v>
      </c>
      <c r="R18" s="33">
        <v>18.002478807251997</v>
      </c>
    </row>
    <row r="19" spans="1:18" s="76" customFormat="1" ht="12.75" x14ac:dyDescent="0.2">
      <c r="A19" s="7" t="str">
        <f>VLOOKUP("&lt;Zeilentitel_5&gt;",Uebersetzungen!$B$3:$E$63,Uebersetzungen!$B$2+1,FALSE)</f>
        <v>Genf</v>
      </c>
      <c r="B19" s="115">
        <v>385288.99999999953</v>
      </c>
      <c r="C19" s="29">
        <v>34085.186310264166</v>
      </c>
      <c r="D19" s="30">
        <v>4.1235095090718081</v>
      </c>
      <c r="E19" s="31">
        <v>123706.40598606586</v>
      </c>
      <c r="F19" s="30">
        <v>1.923133829921994</v>
      </c>
      <c r="G19" s="29">
        <v>20903.992023805382</v>
      </c>
      <c r="H19" s="32">
        <v>5.7114152497486046</v>
      </c>
      <c r="I19" s="29">
        <v>3579.8171317728434</v>
      </c>
      <c r="J19" s="30">
        <v>13.660598132978144</v>
      </c>
      <c r="K19" s="31">
        <v>23513.80308348094</v>
      </c>
      <c r="L19" s="30">
        <v>5.493576940396462</v>
      </c>
      <c r="M19" s="29">
        <v>5070.6511977399841</v>
      </c>
      <c r="N19" s="32">
        <v>11.963609873052862</v>
      </c>
      <c r="O19" s="29">
        <v>164035.3916140502</v>
      </c>
      <c r="P19" s="30">
        <v>1.5569018717850511</v>
      </c>
      <c r="Q19" s="29">
        <v>10393.7526528202</v>
      </c>
      <c r="R19" s="33">
        <v>7.88907483658366</v>
      </c>
    </row>
    <row r="20" spans="1:18" s="76" customFormat="1" ht="12.75" x14ac:dyDescent="0.2">
      <c r="A20" s="56" t="str">
        <f>VLOOKUP("&lt;Zeilentitel_6&gt;",Uebersetzungen!$B$3:$E$63,Uebersetzungen!$B$2+1,FALSE)</f>
        <v>Espace Mittelland</v>
      </c>
      <c r="B20" s="114">
        <v>1563532.0000000068</v>
      </c>
      <c r="C20" s="57">
        <v>532083.76982032345</v>
      </c>
      <c r="D20" s="58">
        <v>1.0893651389295387</v>
      </c>
      <c r="E20" s="59">
        <v>430309.21303685207</v>
      </c>
      <c r="F20" s="58">
        <v>1.2836565437571763</v>
      </c>
      <c r="G20" s="57">
        <v>84994.202266112377</v>
      </c>
      <c r="H20" s="60">
        <v>3.6771514151375548</v>
      </c>
      <c r="I20" s="62">
        <v>1689.1448273127276</v>
      </c>
      <c r="J20" s="63">
        <v>26.18322779349716</v>
      </c>
      <c r="K20" s="59">
        <v>71268.179120841407</v>
      </c>
      <c r="L20" s="58">
        <v>4.3235927840068609</v>
      </c>
      <c r="M20" s="57">
        <v>19848.513251720095</v>
      </c>
      <c r="N20" s="60">
        <v>7.8309608889882227</v>
      </c>
      <c r="O20" s="57">
        <v>402562.7080514339</v>
      </c>
      <c r="P20" s="58">
        <v>1.4260847632550748</v>
      </c>
      <c r="Q20" s="57">
        <v>20776.269625410587</v>
      </c>
      <c r="R20" s="61">
        <v>7.4078710995169095</v>
      </c>
    </row>
    <row r="21" spans="1:18" s="76" customFormat="1" ht="12.75" x14ac:dyDescent="0.2">
      <c r="A21" s="7" t="str">
        <f>VLOOKUP("&lt;Zeilentitel_7&gt;",Uebersetzungen!$B$3:$E$63,Uebersetzungen!$B$2+1,FALSE)</f>
        <v>Bern</v>
      </c>
      <c r="B21" s="115">
        <v>866007.00000000605</v>
      </c>
      <c r="C21" s="29">
        <v>424497.02297592978</v>
      </c>
      <c r="D21" s="30">
        <v>1.1569065170356299</v>
      </c>
      <c r="E21" s="31">
        <v>132649.20580240831</v>
      </c>
      <c r="F21" s="30">
        <v>2.7404501981927032</v>
      </c>
      <c r="G21" s="29">
        <v>55341.514571013977</v>
      </c>
      <c r="H21" s="32">
        <v>4.5583266341709647</v>
      </c>
      <c r="I21" s="34">
        <v>704.6036683439188</v>
      </c>
      <c r="J21" s="35">
        <v>40.487260778988251</v>
      </c>
      <c r="K21" s="31">
        <v>35690.0305015099</v>
      </c>
      <c r="L21" s="30">
        <v>6.1003062090515776</v>
      </c>
      <c r="M21" s="29">
        <v>12996.152873836832</v>
      </c>
      <c r="N21" s="32">
        <v>9.8002412090661437</v>
      </c>
      <c r="O21" s="29">
        <v>193287.63891629962</v>
      </c>
      <c r="P21" s="30">
        <v>2.1727686794734624</v>
      </c>
      <c r="Q21" s="29">
        <v>10840.830690663803</v>
      </c>
      <c r="R21" s="33">
        <v>10.481588539061914</v>
      </c>
    </row>
    <row r="22" spans="1:18" s="76" customFormat="1" ht="12.75" x14ac:dyDescent="0.2">
      <c r="A22" s="7" t="str">
        <f>VLOOKUP("&lt;Zeilentitel_8&gt;",Uebersetzungen!$B$3:$E$63,Uebersetzungen!$B$2+1,FALSE)</f>
        <v>Freiburg</v>
      </c>
      <c r="B22" s="115">
        <v>259778.00000000015</v>
      </c>
      <c r="C22" s="29">
        <v>29542.602069532302</v>
      </c>
      <c r="D22" s="30">
        <v>5.9815808046903989</v>
      </c>
      <c r="E22" s="31">
        <v>153035.872328219</v>
      </c>
      <c r="F22" s="30">
        <v>1.8148599437319717</v>
      </c>
      <c r="G22" s="29">
        <v>8863.3193767548637</v>
      </c>
      <c r="H22" s="32">
        <v>12.003736244912332</v>
      </c>
      <c r="I22" s="34">
        <v>353.64659640380285</v>
      </c>
      <c r="J22" s="35">
        <v>62.463213197237707</v>
      </c>
      <c r="K22" s="31">
        <v>10407.524310957842</v>
      </c>
      <c r="L22" s="30">
        <v>11.633336811005679</v>
      </c>
      <c r="M22" s="29">
        <v>1837.7787956142288</v>
      </c>
      <c r="N22" s="32">
        <v>26.355571653317465</v>
      </c>
      <c r="O22" s="29">
        <v>51903.135548482314</v>
      </c>
      <c r="P22" s="30">
        <v>4.4578289461722553</v>
      </c>
      <c r="Q22" s="29">
        <v>3834.1209740357749</v>
      </c>
      <c r="R22" s="33">
        <v>17.93543411967666</v>
      </c>
    </row>
    <row r="23" spans="1:18" s="76" customFormat="1" ht="12.75" x14ac:dyDescent="0.2">
      <c r="A23" s="7" t="str">
        <f>VLOOKUP("&lt;Zeilentitel_9&gt;",Uebersetzungen!$B$3:$E$63,Uebersetzungen!$B$2+1,FALSE)</f>
        <v>Solothurn</v>
      </c>
      <c r="B23" s="115">
        <v>230273.00000000163</v>
      </c>
      <c r="C23" s="29">
        <v>45630.526006868844</v>
      </c>
      <c r="D23" s="30">
        <v>4.6554690001668426</v>
      </c>
      <c r="E23" s="31">
        <v>75082.416842984821</v>
      </c>
      <c r="F23" s="30">
        <v>3.3771242284674545</v>
      </c>
      <c r="G23" s="29">
        <v>12081.965191999381</v>
      </c>
      <c r="H23" s="32">
        <v>10.599613624598856</v>
      </c>
      <c r="I23" s="38">
        <v>218.1716707940995</v>
      </c>
      <c r="J23" s="30">
        <v>80.216617951106798</v>
      </c>
      <c r="K23" s="31">
        <v>16415.230662960159</v>
      </c>
      <c r="L23" s="30">
        <v>9.759297522858347</v>
      </c>
      <c r="M23" s="29">
        <v>3050.5832320011332</v>
      </c>
      <c r="N23" s="32">
        <v>20.719510633812682</v>
      </c>
      <c r="O23" s="29">
        <v>74999.005959813672</v>
      </c>
      <c r="P23" s="30">
        <v>3.4044336401917921</v>
      </c>
      <c r="Q23" s="29">
        <v>2795.1004325795216</v>
      </c>
      <c r="R23" s="33">
        <v>21.430500069943744</v>
      </c>
    </row>
    <row r="24" spans="1:18" s="76" customFormat="1" ht="12.75" x14ac:dyDescent="0.2">
      <c r="A24" s="7" t="str">
        <f>VLOOKUP("&lt;Zeilentitel_10&gt;",Uebersetzungen!$B$3:$E$63,Uebersetzungen!$B$2+1,FALSE)</f>
        <v>Neuenburg</v>
      </c>
      <c r="B24" s="115">
        <v>146333.99999999872</v>
      </c>
      <c r="C24" s="29">
        <v>27018.746062469236</v>
      </c>
      <c r="D24" s="30">
        <v>4.157987727441407</v>
      </c>
      <c r="E24" s="31">
        <v>29997.550334476971</v>
      </c>
      <c r="F24" s="30">
        <v>3.9850637514689486</v>
      </c>
      <c r="G24" s="29">
        <v>6821.3971826335728</v>
      </c>
      <c r="H24" s="32">
        <v>9.3253688211436305</v>
      </c>
      <c r="I24" s="34">
        <v>278.31720959813367</v>
      </c>
      <c r="J24" s="35">
        <v>47.827783496859794</v>
      </c>
      <c r="K24" s="31">
        <v>6766.5578452667269</v>
      </c>
      <c r="L24" s="30">
        <v>9.90310226931636</v>
      </c>
      <c r="M24" s="29">
        <v>1510.7125056833895</v>
      </c>
      <c r="N24" s="32">
        <v>20.896294004611725</v>
      </c>
      <c r="O24" s="29">
        <v>71502.512478166682</v>
      </c>
      <c r="P24" s="30">
        <v>2.1122416287370869</v>
      </c>
      <c r="Q24" s="29">
        <v>2438.2063817040062</v>
      </c>
      <c r="R24" s="33">
        <v>15.644106013706457</v>
      </c>
    </row>
    <row r="25" spans="1:18" s="76" customFormat="1" ht="12.75" x14ac:dyDescent="0.2">
      <c r="A25" s="7" t="str">
        <f>VLOOKUP("&lt;Zeilentitel_11&gt;",Uebersetzungen!$B$3:$E$63,Uebersetzungen!$B$2+1,FALSE)</f>
        <v>Jura</v>
      </c>
      <c r="B25" s="115">
        <v>61139.999999999927</v>
      </c>
      <c r="C25" s="29">
        <v>5394.8727055232202</v>
      </c>
      <c r="D25" s="30">
        <v>14.137740967771345</v>
      </c>
      <c r="E25" s="31">
        <v>39544.167728762928</v>
      </c>
      <c r="F25" s="30">
        <v>3.320649867478854</v>
      </c>
      <c r="G25" s="29">
        <v>1886.0059437105758</v>
      </c>
      <c r="H25" s="32">
        <v>25.291240360683982</v>
      </c>
      <c r="I25" s="38" t="s">
        <v>1</v>
      </c>
      <c r="J25" s="30" t="s">
        <v>1</v>
      </c>
      <c r="K25" s="39">
        <v>1988.8358001467761</v>
      </c>
      <c r="L25" s="35">
        <v>26.277008709070916</v>
      </c>
      <c r="M25" s="34">
        <v>453.28584458451269</v>
      </c>
      <c r="N25" s="37">
        <v>54.029250238653489</v>
      </c>
      <c r="O25" s="29">
        <v>10870.415148671662</v>
      </c>
      <c r="P25" s="30">
        <v>9.935940477070428</v>
      </c>
      <c r="Q25" s="34">
        <v>868.01114642748041</v>
      </c>
      <c r="R25" s="40">
        <v>36.508346614955549</v>
      </c>
    </row>
    <row r="26" spans="1:18" s="76" customFormat="1" ht="12.75" x14ac:dyDescent="0.2">
      <c r="A26" s="56" t="str">
        <f>VLOOKUP("&lt;Zeilentitel_12&gt;",Uebersetzungen!$B$3:$E$63,Uebersetzungen!$B$2+1,FALSE)</f>
        <v>Nordwestschweiz</v>
      </c>
      <c r="B26" s="116">
        <v>971272.99999999849</v>
      </c>
      <c r="C26" s="57">
        <v>224277.63507176135</v>
      </c>
      <c r="D26" s="58">
        <v>2.0623692678695353</v>
      </c>
      <c r="E26" s="59">
        <v>265619.58799801348</v>
      </c>
      <c r="F26" s="58">
        <v>1.8721628749206611</v>
      </c>
      <c r="G26" s="57">
        <v>59751.197470476094</v>
      </c>
      <c r="H26" s="60">
        <v>4.6672449485840737</v>
      </c>
      <c r="I26" s="57">
        <v>1663.7100591283938</v>
      </c>
      <c r="J26" s="58">
        <v>28.66242268474069</v>
      </c>
      <c r="K26" s="59">
        <v>63433.422653727866</v>
      </c>
      <c r="L26" s="58">
        <v>4.7785520349330515</v>
      </c>
      <c r="M26" s="57">
        <v>15092.574376788874</v>
      </c>
      <c r="N26" s="60">
        <v>9.5089701548453629</v>
      </c>
      <c r="O26" s="57">
        <v>328916.91579948174</v>
      </c>
      <c r="P26" s="58">
        <v>1.6242275151127779</v>
      </c>
      <c r="Q26" s="57">
        <v>12517.956570620507</v>
      </c>
      <c r="R26" s="61">
        <v>10.24927982030689</v>
      </c>
    </row>
    <row r="27" spans="1:18" s="76" customFormat="1" ht="12.75" x14ac:dyDescent="0.2">
      <c r="A27" s="7" t="str">
        <f>VLOOKUP("&lt;Zeilentitel_13&gt;",Uebersetzungen!$B$3:$E$63,Uebersetzungen!$B$2+1,FALSE)</f>
        <v>Basel-Stadt</v>
      </c>
      <c r="B27" s="115">
        <v>163051.00000000052</v>
      </c>
      <c r="C27" s="29">
        <v>25012.412470634423</v>
      </c>
      <c r="D27" s="30">
        <v>6.7811608605613376</v>
      </c>
      <c r="E27" s="31">
        <v>26022.883301482758</v>
      </c>
      <c r="F27" s="30">
        <v>6.7242833460408082</v>
      </c>
      <c r="G27" s="29">
        <v>9673.9391248758147</v>
      </c>
      <c r="H27" s="32">
        <v>12.133397919373717</v>
      </c>
      <c r="I27" s="34">
        <v>1041.4274340350746</v>
      </c>
      <c r="J27" s="35">
        <v>36.614734648691382</v>
      </c>
      <c r="K27" s="31">
        <v>13270.274770314552</v>
      </c>
      <c r="L27" s="30">
        <v>10.555149918655752</v>
      </c>
      <c r="M27" s="29">
        <v>3294.1657392032389</v>
      </c>
      <c r="N27" s="32">
        <v>21.526030425755536</v>
      </c>
      <c r="O27" s="29">
        <v>82581.706893750626</v>
      </c>
      <c r="P27" s="30">
        <v>2.9391396757501109</v>
      </c>
      <c r="Q27" s="29">
        <v>2154.1902657040187</v>
      </c>
      <c r="R27" s="33">
        <v>26.23979911155304</v>
      </c>
    </row>
    <row r="28" spans="1:18" s="76" customFormat="1" ht="12.75" x14ac:dyDescent="0.2">
      <c r="A28" s="7" t="str">
        <f>VLOOKUP("&lt;Zeilentitel_14&gt;",Uebersetzungen!$B$3:$E$63,Uebersetzungen!$B$2+1,FALSE)</f>
        <v>Basel-Landschaft</v>
      </c>
      <c r="B28" s="115">
        <v>242457.9999999982</v>
      </c>
      <c r="C28" s="29">
        <v>71043.446660993781</v>
      </c>
      <c r="D28" s="30">
        <v>3.4923351174393473</v>
      </c>
      <c r="E28" s="31">
        <v>60506.331345497514</v>
      </c>
      <c r="F28" s="30">
        <v>3.955466970384089</v>
      </c>
      <c r="G28" s="29">
        <v>12883.522930077132</v>
      </c>
      <c r="H28" s="32">
        <v>9.9514521683669201</v>
      </c>
      <c r="I28" s="34">
        <v>223.54776820764388</v>
      </c>
      <c r="J28" s="35">
        <v>79.978072918395171</v>
      </c>
      <c r="K28" s="31">
        <v>12160.568683162235</v>
      </c>
      <c r="L28" s="30">
        <v>11.012173463565237</v>
      </c>
      <c r="M28" s="29">
        <v>4587.3886427759689</v>
      </c>
      <c r="N28" s="32">
        <v>17.004939660039128</v>
      </c>
      <c r="O28" s="29">
        <v>77834.403547512877</v>
      </c>
      <c r="P28" s="30">
        <v>3.4015712361410468</v>
      </c>
      <c r="Q28" s="29">
        <v>3218.7904217710029</v>
      </c>
      <c r="R28" s="33">
        <v>19.818219132374633</v>
      </c>
    </row>
    <row r="29" spans="1:18" s="76" customFormat="1" ht="12.75" x14ac:dyDescent="0.2">
      <c r="A29" s="7" t="str">
        <f>VLOOKUP("&lt;Zeilentitel_15&gt;",Uebersetzungen!$B$3:$E$63,Uebersetzungen!$B$2+1,FALSE)</f>
        <v>Aargau</v>
      </c>
      <c r="B29" s="115">
        <v>565763.99999999965</v>
      </c>
      <c r="C29" s="29">
        <v>128221.77594013316</v>
      </c>
      <c r="D29" s="30">
        <v>2.74209917331613</v>
      </c>
      <c r="E29" s="31">
        <v>179090.37335103317</v>
      </c>
      <c r="F29" s="30">
        <v>2.2292576587919974</v>
      </c>
      <c r="G29" s="29">
        <v>37193.735415523151</v>
      </c>
      <c r="H29" s="32">
        <v>5.8631217335573655</v>
      </c>
      <c r="I29" s="34">
        <v>398.73485688567524</v>
      </c>
      <c r="J29" s="35">
        <v>56.094601844672617</v>
      </c>
      <c r="K29" s="31">
        <v>38002.579200251079</v>
      </c>
      <c r="L29" s="30">
        <v>6.1334273584990751</v>
      </c>
      <c r="M29" s="29">
        <v>7211.0199948096651</v>
      </c>
      <c r="N29" s="32">
        <v>13.504389718810382</v>
      </c>
      <c r="O29" s="29">
        <v>168500.80535821823</v>
      </c>
      <c r="P29" s="30">
        <v>2.3470023660573376</v>
      </c>
      <c r="Q29" s="29">
        <v>7144.9758831454856</v>
      </c>
      <c r="R29" s="33">
        <v>13.421802101314045</v>
      </c>
    </row>
    <row r="30" spans="1:18" s="76" customFormat="1" ht="12.75" x14ac:dyDescent="0.2">
      <c r="A30" s="7" t="str">
        <f>VLOOKUP("&lt;Zeilentitel_16&gt;",Uebersetzungen!$B$3:$E$63,Uebersetzungen!$B$2+1,FALSE)</f>
        <v>Zürich</v>
      </c>
      <c r="B30" s="117">
        <v>1261771.0000000116</v>
      </c>
      <c r="C30" s="29">
        <v>342573.55673206644</v>
      </c>
      <c r="D30" s="30">
        <v>1.6228212017589163</v>
      </c>
      <c r="E30" s="31">
        <v>322364.42251671647</v>
      </c>
      <c r="F30" s="30">
        <v>1.7452088780426374</v>
      </c>
      <c r="G30" s="29">
        <v>80405.810955660199</v>
      </c>
      <c r="H30" s="32">
        <v>3.9952195907267609</v>
      </c>
      <c r="I30" s="29">
        <v>5336.7645918582566</v>
      </c>
      <c r="J30" s="30">
        <v>15.656436330276051</v>
      </c>
      <c r="K30" s="31">
        <v>81538.952942392672</v>
      </c>
      <c r="L30" s="30">
        <v>4.1539558032487998</v>
      </c>
      <c r="M30" s="29">
        <v>21096.345660062965</v>
      </c>
      <c r="N30" s="32">
        <v>8.0672709063881367</v>
      </c>
      <c r="O30" s="29">
        <v>393011.67954447528</v>
      </c>
      <c r="P30" s="30">
        <v>1.5313652404379063</v>
      </c>
      <c r="Q30" s="29">
        <v>15443.467056779456</v>
      </c>
      <c r="R30" s="33">
        <v>9.2375299312831594</v>
      </c>
    </row>
    <row r="31" spans="1:18" s="76" customFormat="1" ht="12.75" x14ac:dyDescent="0.2">
      <c r="A31" s="56" t="str">
        <f>VLOOKUP("&lt;Zeilentitel_17&gt;",Uebersetzungen!$B$3:$E$63,Uebersetzungen!$B$2+1,FALSE)</f>
        <v>Ostschweiz</v>
      </c>
      <c r="B31" s="114">
        <v>984977.00000000827</v>
      </c>
      <c r="C31" s="57">
        <v>261327.13395453573</v>
      </c>
      <c r="D31" s="58">
        <v>1.8573997504400837</v>
      </c>
      <c r="E31" s="59">
        <v>371473.69030342821</v>
      </c>
      <c r="F31" s="58">
        <v>1.4477761404127869</v>
      </c>
      <c r="G31" s="57">
        <v>57622.707283604665</v>
      </c>
      <c r="H31" s="60">
        <v>4.666268597385943</v>
      </c>
      <c r="I31" s="64">
        <v>696.29526425571669</v>
      </c>
      <c r="J31" s="63">
        <v>44.869152639352322</v>
      </c>
      <c r="K31" s="59">
        <v>59732.815526253595</v>
      </c>
      <c r="L31" s="58">
        <v>4.8238610711825372</v>
      </c>
      <c r="M31" s="57">
        <v>11311.427506656149</v>
      </c>
      <c r="N31" s="60">
        <v>10.879403193507562</v>
      </c>
      <c r="O31" s="57">
        <v>210562.80364557097</v>
      </c>
      <c r="P31" s="58">
        <v>2.2074391002160536</v>
      </c>
      <c r="Q31" s="57">
        <v>12250.126515703272</v>
      </c>
      <c r="R31" s="61">
        <v>10.247974915774398</v>
      </c>
    </row>
    <row r="32" spans="1:18" s="76" customFormat="1" ht="12.75" x14ac:dyDescent="0.2">
      <c r="A32" s="7" t="str">
        <f>VLOOKUP("&lt;Zeilentitel_18&gt;",Uebersetzungen!$B$3:$E$63,Uebersetzungen!$B$2+1,FALSE)</f>
        <v>Glarus</v>
      </c>
      <c r="B32" s="115">
        <v>33923.999999999818</v>
      </c>
      <c r="C32" s="29">
        <v>10223.38609536426</v>
      </c>
      <c r="D32" s="30">
        <v>9.6079910150983387</v>
      </c>
      <c r="E32" s="31">
        <v>11101.193817515923</v>
      </c>
      <c r="F32" s="30">
        <v>9.2945395391067986</v>
      </c>
      <c r="G32" s="36">
        <v>1439.5061074995085</v>
      </c>
      <c r="H32" s="37">
        <v>31.671237835881456</v>
      </c>
      <c r="I32" s="38" t="s">
        <v>1</v>
      </c>
      <c r="J32" s="30" t="s">
        <v>1</v>
      </c>
      <c r="K32" s="31">
        <v>2484.7120253202638</v>
      </c>
      <c r="L32" s="30">
        <v>26.121174824228756</v>
      </c>
      <c r="M32" s="34">
        <v>379.66225925261921</v>
      </c>
      <c r="N32" s="37">
        <v>61.346204323284361</v>
      </c>
      <c r="O32" s="29">
        <v>7767.7577740722963</v>
      </c>
      <c r="P32" s="30">
        <v>11.798397422189495</v>
      </c>
      <c r="Q32" s="38">
        <v>497.68563567141859</v>
      </c>
      <c r="R32" s="33">
        <v>53.666628479696406</v>
      </c>
    </row>
    <row r="33" spans="1:18" s="76" customFormat="1" ht="12.75" x14ac:dyDescent="0.2">
      <c r="A33" s="7" t="str">
        <f>VLOOKUP("&lt;Zeilentitel_19&gt;",Uebersetzungen!$B$3:$E$63,Uebersetzungen!$B$2+1,FALSE)</f>
        <v>Schaffhausen</v>
      </c>
      <c r="B33" s="115">
        <v>69088.00000000016</v>
      </c>
      <c r="C33" s="29">
        <v>24224.959383921003</v>
      </c>
      <c r="D33" s="30">
        <v>5.7030640886639041</v>
      </c>
      <c r="E33" s="31">
        <v>15017.826280013587</v>
      </c>
      <c r="F33" s="30">
        <v>8.2561684808488405</v>
      </c>
      <c r="G33" s="29">
        <v>4729.8542788019577</v>
      </c>
      <c r="H33" s="32">
        <v>16.293297054615035</v>
      </c>
      <c r="I33" s="38" t="s">
        <v>1</v>
      </c>
      <c r="J33" s="30" t="s">
        <v>1</v>
      </c>
      <c r="K33" s="31">
        <v>5022.4514614193868</v>
      </c>
      <c r="L33" s="30">
        <v>17.395575509287674</v>
      </c>
      <c r="M33" s="36">
        <v>1254.8080997726031</v>
      </c>
      <c r="N33" s="37">
        <v>32.869890093293719</v>
      </c>
      <c r="O33" s="29">
        <v>17931.076981723138</v>
      </c>
      <c r="P33" s="30">
        <v>7.3370031687267954</v>
      </c>
      <c r="Q33" s="34">
        <v>836.12177905943361</v>
      </c>
      <c r="R33" s="40">
        <v>40.120431854888551</v>
      </c>
    </row>
    <row r="34" spans="1:18" s="76" customFormat="1" ht="12.75" x14ac:dyDescent="0.2">
      <c r="A34" s="7" t="str">
        <f>VLOOKUP("&lt;Zeilentitel_20&gt;",Uebersetzungen!$B$3:$E$63,Uebersetzungen!$B$2+1,FALSE)</f>
        <v>Appenzell Ausserrhoden</v>
      </c>
      <c r="B34" s="115">
        <v>45960.999999999694</v>
      </c>
      <c r="C34" s="29">
        <v>17055.463262112382</v>
      </c>
      <c r="D34" s="30">
        <v>6.8628685731616086</v>
      </c>
      <c r="E34" s="31">
        <v>13766.620363163636</v>
      </c>
      <c r="F34" s="30">
        <v>8.1142708760923625</v>
      </c>
      <c r="G34" s="29">
        <v>2812.1046102833543</v>
      </c>
      <c r="H34" s="32">
        <v>21.319394701604228</v>
      </c>
      <c r="I34" s="38" t="s">
        <v>1</v>
      </c>
      <c r="J34" s="30" t="s">
        <v>1</v>
      </c>
      <c r="K34" s="39">
        <v>1342.8656917180092</v>
      </c>
      <c r="L34" s="35">
        <v>33.803201493093987</v>
      </c>
      <c r="M34" s="34">
        <v>573.61144052340069</v>
      </c>
      <c r="N34" s="37">
        <v>50.372764843549767</v>
      </c>
      <c r="O34" s="29">
        <v>9882.9413947428911</v>
      </c>
      <c r="P34" s="30">
        <v>10.155086776499708</v>
      </c>
      <c r="Q34" s="34">
        <v>440.38415632166033</v>
      </c>
      <c r="R34" s="40">
        <v>53.647136898073661</v>
      </c>
    </row>
    <row r="35" spans="1:18" s="76" customFormat="1" ht="12.75" x14ac:dyDescent="0.2">
      <c r="A35" s="7" t="str">
        <f>VLOOKUP("&lt;Zeilentitel_21&gt;",Uebersetzungen!$B$3:$E$63,Uebersetzungen!$B$2+1,FALSE)</f>
        <v>Appenzell Innerrhoden</v>
      </c>
      <c r="B35" s="115">
        <v>13352.999999999818</v>
      </c>
      <c r="C35" s="29">
        <v>1313.8639688265091</v>
      </c>
      <c r="D35" s="30">
        <v>30.389864625578113</v>
      </c>
      <c r="E35" s="31">
        <v>9946.5430016185164</v>
      </c>
      <c r="F35" s="30">
        <v>6.2753026760493036</v>
      </c>
      <c r="G35" s="34">
        <v>398.46333499107442</v>
      </c>
      <c r="H35" s="37">
        <v>57.896691711946673</v>
      </c>
      <c r="I35" s="38" t="s">
        <v>1</v>
      </c>
      <c r="J35" s="30" t="s">
        <v>1</v>
      </c>
      <c r="K35" s="41" t="s">
        <v>1</v>
      </c>
      <c r="L35" s="35" t="s">
        <v>1</v>
      </c>
      <c r="M35" s="34" t="s">
        <v>1</v>
      </c>
      <c r="N35" s="37" t="s">
        <v>1</v>
      </c>
      <c r="O35" s="36">
        <v>1253.5537106783631</v>
      </c>
      <c r="P35" s="35">
        <v>31.278992614590031</v>
      </c>
      <c r="Q35" s="38" t="s">
        <v>1</v>
      </c>
      <c r="R35" s="33" t="s">
        <v>1</v>
      </c>
    </row>
    <row r="36" spans="1:18" s="76" customFormat="1" ht="12.75" x14ac:dyDescent="0.2">
      <c r="A36" s="7" t="str">
        <f>VLOOKUP("&lt;Zeilentitel_22&gt;",Uebersetzungen!$B$3:$E$63,Uebersetzungen!$B$2+1,FALSE)</f>
        <v>St. Gallen</v>
      </c>
      <c r="B36" s="115">
        <v>422600.00000001141</v>
      </c>
      <c r="C36" s="29">
        <v>86379.868747460889</v>
      </c>
      <c r="D36" s="30">
        <v>3.3877688600935185</v>
      </c>
      <c r="E36" s="31">
        <v>178932.13940161379</v>
      </c>
      <c r="F36" s="30">
        <v>2.015612078761261</v>
      </c>
      <c r="G36" s="29">
        <v>26152.7459335932</v>
      </c>
      <c r="H36" s="32">
        <v>6.9476413519728464</v>
      </c>
      <c r="I36" s="34">
        <v>328.08954288984228</v>
      </c>
      <c r="J36" s="35">
        <v>64.820711038094188</v>
      </c>
      <c r="K36" s="31">
        <v>32008.847352890487</v>
      </c>
      <c r="L36" s="30">
        <v>6.5428290137227245</v>
      </c>
      <c r="M36" s="29">
        <v>4921.8216716048746</v>
      </c>
      <c r="N36" s="32">
        <v>16.712129385162193</v>
      </c>
      <c r="O36" s="29">
        <v>88351.442438149228</v>
      </c>
      <c r="P36" s="30">
        <v>3.4292804943226827</v>
      </c>
      <c r="Q36" s="29">
        <v>5525.0449118090892</v>
      </c>
      <c r="R36" s="33">
        <v>15.269773092335209</v>
      </c>
    </row>
    <row r="37" spans="1:18" s="76" customFormat="1" ht="12.75" x14ac:dyDescent="0.2">
      <c r="A37" s="65" t="str">
        <f>VLOOKUP("&lt;Zeilentitel_23&gt;",Uebersetzungen!$B$3:$E$63,Uebersetzungen!$B$2+1,FALSE)</f>
        <v>Graubünden</v>
      </c>
      <c r="B37" s="118">
        <v>169268.00000000041</v>
      </c>
      <c r="C37" s="66">
        <v>53063.380590518791</v>
      </c>
      <c r="D37" s="67">
        <v>3.9726101479726044</v>
      </c>
      <c r="E37" s="68">
        <v>69018.472668812261</v>
      </c>
      <c r="F37" s="67">
        <v>3.2989493946631039</v>
      </c>
      <c r="G37" s="66">
        <v>6260.7425680166471</v>
      </c>
      <c r="H37" s="69">
        <v>14.173582648899709</v>
      </c>
      <c r="I37" s="70" t="s">
        <v>1</v>
      </c>
      <c r="J37" s="67" t="s">
        <v>1</v>
      </c>
      <c r="K37" s="68">
        <v>3748.9733627210439</v>
      </c>
      <c r="L37" s="67">
        <v>19.936776917415532</v>
      </c>
      <c r="M37" s="71">
        <v>1550.2905695311399</v>
      </c>
      <c r="N37" s="72">
        <v>28.792150107799738</v>
      </c>
      <c r="O37" s="66">
        <v>33380.804378432906</v>
      </c>
      <c r="P37" s="67">
        <v>5.5564607056057369</v>
      </c>
      <c r="Q37" s="73">
        <v>2213.713030214838</v>
      </c>
      <c r="R37" s="74">
        <v>23.55395802346721</v>
      </c>
    </row>
    <row r="38" spans="1:18" s="76" customFormat="1" ht="12.75" x14ac:dyDescent="0.2">
      <c r="A38" s="7" t="str">
        <f>VLOOKUP("&lt;Zeilentitel_24&gt;",Uebersetzungen!$B$3:$E$63,Uebersetzungen!$B$2+1,FALSE)</f>
        <v>Thurgau</v>
      </c>
      <c r="B38" s="115">
        <v>230782.999999997</v>
      </c>
      <c r="C38" s="29">
        <v>69066.211906331911</v>
      </c>
      <c r="D38" s="30">
        <v>3.5906422017273374</v>
      </c>
      <c r="E38" s="31">
        <v>73690.894770690458</v>
      </c>
      <c r="F38" s="30">
        <v>3.4578842226696054</v>
      </c>
      <c r="G38" s="29">
        <v>15829.290450418926</v>
      </c>
      <c r="H38" s="32">
        <v>8.7684351074558187</v>
      </c>
      <c r="I38" s="34" t="s">
        <v>1</v>
      </c>
      <c r="J38" s="35" t="s">
        <v>1</v>
      </c>
      <c r="K38" s="31">
        <v>14946.063275619737</v>
      </c>
      <c r="L38" s="30">
        <v>9.3111799334181082</v>
      </c>
      <c r="M38" s="29">
        <v>2519.4244279299774</v>
      </c>
      <c r="N38" s="32">
        <v>22.280562734147381</v>
      </c>
      <c r="O38" s="29">
        <v>51995.226967772156</v>
      </c>
      <c r="P38" s="30">
        <v>4.4077959235195374</v>
      </c>
      <c r="Q38" s="29">
        <v>2587.3124133476822</v>
      </c>
      <c r="R38" s="33">
        <v>22.259013635132224</v>
      </c>
    </row>
    <row r="39" spans="1:18" s="76" customFormat="1" ht="12.75" x14ac:dyDescent="0.2">
      <c r="A39" s="56" t="str">
        <f>VLOOKUP("&lt;Zeilentitel_25&gt;",Uebersetzungen!$B$3:$E$63,Uebersetzungen!$B$2+1,FALSE)</f>
        <v>Zentralschweiz</v>
      </c>
      <c r="B39" s="116">
        <v>676359.99999999744</v>
      </c>
      <c r="C39" s="57">
        <v>69382.247304378587</v>
      </c>
      <c r="D39" s="58">
        <v>3.2221191400137679</v>
      </c>
      <c r="E39" s="59">
        <v>398183.17970479839</v>
      </c>
      <c r="F39" s="58">
        <v>0.91527281558559825</v>
      </c>
      <c r="G39" s="57">
        <v>29595.388947575135</v>
      </c>
      <c r="H39" s="60">
        <v>5.3854258339802037</v>
      </c>
      <c r="I39" s="64">
        <v>766.82522726176535</v>
      </c>
      <c r="J39" s="63">
        <v>34.57626768295961</v>
      </c>
      <c r="K39" s="59">
        <v>28381.328037685227</v>
      </c>
      <c r="L39" s="58">
        <v>5.7883061392668527</v>
      </c>
      <c r="M39" s="57">
        <v>7286.7240275778704</v>
      </c>
      <c r="N39" s="60">
        <v>10.984808298009632</v>
      </c>
      <c r="O39" s="57">
        <v>135958.73159642782</v>
      </c>
      <c r="P39" s="58">
        <v>2.2391510166540436</v>
      </c>
      <c r="Q39" s="57">
        <v>6805.5751542926682</v>
      </c>
      <c r="R39" s="61">
        <v>11.037341253273622</v>
      </c>
    </row>
    <row r="40" spans="1:18" s="76" customFormat="1" ht="12.75" x14ac:dyDescent="0.2">
      <c r="A40" s="7" t="str">
        <f>VLOOKUP("&lt;Zeilentitel_26&gt;",Uebersetzungen!$B$3:$E$63,Uebersetzungen!$B$2+1,FALSE)</f>
        <v>Luzern</v>
      </c>
      <c r="B40" s="115">
        <v>339231.99999999884</v>
      </c>
      <c r="C40" s="29">
        <v>33459.056627789483</v>
      </c>
      <c r="D40" s="30">
        <v>4.1197194149280243</v>
      </c>
      <c r="E40" s="31">
        <v>200631.40755891145</v>
      </c>
      <c r="F40" s="30">
        <v>1.1355864037792993</v>
      </c>
      <c r="G40" s="29">
        <v>15246.238514906134</v>
      </c>
      <c r="H40" s="32">
        <v>6.7797358949505222</v>
      </c>
      <c r="I40" s="34">
        <v>248.01536087547677</v>
      </c>
      <c r="J40" s="35">
        <v>55.40214512118046</v>
      </c>
      <c r="K40" s="31">
        <v>15794.877565493915</v>
      </c>
      <c r="L40" s="30">
        <v>7.0257830910971553</v>
      </c>
      <c r="M40" s="29">
        <v>3859.350326907308</v>
      </c>
      <c r="N40" s="32">
        <v>14.023467375325643</v>
      </c>
      <c r="O40" s="29">
        <v>66449.656543355377</v>
      </c>
      <c r="P40" s="30">
        <v>2.8536734325410142</v>
      </c>
      <c r="Q40" s="29">
        <v>3543.3975017597036</v>
      </c>
      <c r="R40" s="33">
        <v>13.620915450593424</v>
      </c>
    </row>
    <row r="41" spans="1:18" s="76" customFormat="1" ht="12.75" x14ac:dyDescent="0.2">
      <c r="A41" s="7" t="str">
        <f>VLOOKUP("&lt;Zeilentitel_27&gt;",Uebersetzungen!$B$3:$E$63,Uebersetzungen!$B$2+1,FALSE)</f>
        <v>Uri</v>
      </c>
      <c r="B41" s="115">
        <v>30245.999999999691</v>
      </c>
      <c r="C41" s="34">
        <v>1892.6480688688553</v>
      </c>
      <c r="D41" s="35">
        <v>24.653193820212397</v>
      </c>
      <c r="E41" s="31">
        <v>23465.576494695746</v>
      </c>
      <c r="F41" s="30">
        <v>3.5277718206674868</v>
      </c>
      <c r="G41" s="34">
        <v>659.33816796613144</v>
      </c>
      <c r="H41" s="37">
        <v>42.960909395886262</v>
      </c>
      <c r="I41" s="29" t="s">
        <v>1</v>
      </c>
      <c r="J41" s="30" t="s">
        <v>1</v>
      </c>
      <c r="K41" s="41">
        <v>583.99470634939644</v>
      </c>
      <c r="L41" s="35">
        <v>48.292115522677101</v>
      </c>
      <c r="M41" s="34">
        <v>154.23798629868003</v>
      </c>
      <c r="N41" s="37">
        <v>86.421536924297911</v>
      </c>
      <c r="O41" s="29">
        <v>3299.475136752545</v>
      </c>
      <c r="P41" s="30">
        <v>18.223363383691812</v>
      </c>
      <c r="Q41" s="38">
        <v>190.72943906833015</v>
      </c>
      <c r="R41" s="33">
        <v>79.589829693431597</v>
      </c>
    </row>
    <row r="42" spans="1:18" s="76" customFormat="1" ht="12.75" x14ac:dyDescent="0.2">
      <c r="A42" s="7" t="str">
        <f>VLOOKUP("&lt;Zeilentitel_28&gt;",Uebersetzungen!$B$3:$E$63,Uebersetzungen!$B$2+1,FALSE)</f>
        <v>Schwyz</v>
      </c>
      <c r="B42" s="115">
        <v>133325.99999999983</v>
      </c>
      <c r="C42" s="29">
        <v>14060.468516024363</v>
      </c>
      <c r="D42" s="30">
        <v>8.8723522372123771</v>
      </c>
      <c r="E42" s="31">
        <v>77839.597943300454</v>
      </c>
      <c r="F42" s="30">
        <v>2.5879831446068406</v>
      </c>
      <c r="G42" s="29">
        <v>5813.3860442324249</v>
      </c>
      <c r="H42" s="32">
        <v>15.193640156904605</v>
      </c>
      <c r="I42" s="34">
        <v>179.72027810785931</v>
      </c>
      <c r="J42" s="35">
        <v>86.433050602767295</v>
      </c>
      <c r="K42" s="31">
        <v>5524.8715125825074</v>
      </c>
      <c r="L42" s="30">
        <v>16.544909724818613</v>
      </c>
      <c r="M42" s="36">
        <v>1145.3997813390254</v>
      </c>
      <c r="N42" s="37">
        <v>34.281379795983916</v>
      </c>
      <c r="O42" s="29">
        <v>27471.008535642311</v>
      </c>
      <c r="P42" s="30">
        <v>6.112775980535357</v>
      </c>
      <c r="Q42" s="34">
        <v>1291.5473887708904</v>
      </c>
      <c r="R42" s="40">
        <v>31.421521353249062</v>
      </c>
    </row>
    <row r="43" spans="1:18" s="76" customFormat="1" ht="12.75" x14ac:dyDescent="0.2">
      <c r="A43" s="7" t="str">
        <f>VLOOKUP("&lt;Zeilentitel_29&gt;",Uebersetzungen!$B$3:$E$63,Uebersetzungen!$B$2+1,FALSE)</f>
        <v>Obwalden</v>
      </c>
      <c r="B43" s="115">
        <v>31547.999999999782</v>
      </c>
      <c r="C43" s="29">
        <v>2260.949474707741</v>
      </c>
      <c r="D43" s="30">
        <v>21.65490168638809</v>
      </c>
      <c r="E43" s="31">
        <v>21508.085136210706</v>
      </c>
      <c r="F43" s="30">
        <v>4.1443229219627495</v>
      </c>
      <c r="G43" s="34">
        <v>954.95993550861192</v>
      </c>
      <c r="H43" s="37">
        <v>36.325376533045961</v>
      </c>
      <c r="I43" s="38" t="s">
        <v>1</v>
      </c>
      <c r="J43" s="30" t="s">
        <v>1</v>
      </c>
      <c r="K43" s="39">
        <v>872.41798423287366</v>
      </c>
      <c r="L43" s="35">
        <v>38.565108091674865</v>
      </c>
      <c r="M43" s="34">
        <v>342.49975268793207</v>
      </c>
      <c r="N43" s="37">
        <v>61.008119018495258</v>
      </c>
      <c r="O43" s="29">
        <v>5321.4821706828516</v>
      </c>
      <c r="P43" s="30">
        <v>13.922115680029206</v>
      </c>
      <c r="Q43" s="34">
        <v>259.88143896700694</v>
      </c>
      <c r="R43" s="40">
        <v>68.186876764692656</v>
      </c>
    </row>
    <row r="44" spans="1:18" s="76" customFormat="1" ht="12.75" x14ac:dyDescent="0.2">
      <c r="A44" s="7" t="str">
        <f>VLOOKUP("&lt;Zeilentitel_30&gt;",Uebersetzungen!$B$3:$E$63,Uebersetzungen!$B$2+1,FALSE)</f>
        <v>Nidwalden</v>
      </c>
      <c r="B44" s="115">
        <v>36681.999999999425</v>
      </c>
      <c r="C44" s="29">
        <v>3589.1410099962341</v>
      </c>
      <c r="D44" s="30">
        <v>17.165765751398929</v>
      </c>
      <c r="E44" s="31">
        <v>23133.359057585014</v>
      </c>
      <c r="F44" s="30">
        <v>4.3459034456394781</v>
      </c>
      <c r="G44" s="34">
        <v>1033.099976267109</v>
      </c>
      <c r="H44" s="37">
        <v>34.543633981478997</v>
      </c>
      <c r="I44" s="38" t="s">
        <v>1</v>
      </c>
      <c r="J44" s="30" t="s">
        <v>1</v>
      </c>
      <c r="K44" s="41">
        <v>989.18683043409328</v>
      </c>
      <c r="L44" s="35">
        <v>36.193377858446489</v>
      </c>
      <c r="M44" s="38">
        <v>303.64364233290985</v>
      </c>
      <c r="N44" s="32">
        <v>64.677707860791486</v>
      </c>
      <c r="O44" s="29">
        <v>7160.8241490004139</v>
      </c>
      <c r="P44" s="30">
        <v>11.660857295146046</v>
      </c>
      <c r="Q44" s="34">
        <v>404.82145950035482</v>
      </c>
      <c r="R44" s="40">
        <v>53.445458899079853</v>
      </c>
    </row>
    <row r="45" spans="1:18" s="76" customFormat="1" ht="12.75" x14ac:dyDescent="0.2">
      <c r="A45" s="7" t="str">
        <f>VLOOKUP("&lt;Zeilentitel_31&gt;",Uebersetzungen!$B$3:$E$63,Uebersetzungen!$B$2+1,FALSE)</f>
        <v>Zug</v>
      </c>
      <c r="B45" s="115">
        <v>105325.9999999999</v>
      </c>
      <c r="C45" s="29">
        <v>14119.983606991911</v>
      </c>
      <c r="D45" s="30">
        <v>5.9444544533110184</v>
      </c>
      <c r="E45" s="31">
        <v>51605.153514095036</v>
      </c>
      <c r="F45" s="30">
        <v>2.4067708917090553</v>
      </c>
      <c r="G45" s="29">
        <v>5888.3663086947217</v>
      </c>
      <c r="H45" s="32">
        <v>10.243132523177515</v>
      </c>
      <c r="I45" s="34">
        <v>243.44160639306966</v>
      </c>
      <c r="J45" s="35">
        <v>51.453908221083076</v>
      </c>
      <c r="K45" s="31">
        <v>4615.9794385924433</v>
      </c>
      <c r="L45" s="30">
        <v>12.078578251849192</v>
      </c>
      <c r="M45" s="29">
        <v>1481.592538012015</v>
      </c>
      <c r="N45" s="32">
        <v>20.649528763330302</v>
      </c>
      <c r="O45" s="29">
        <v>26256.28506099432</v>
      </c>
      <c r="P45" s="30">
        <v>4.248943674714722</v>
      </c>
      <c r="Q45" s="34">
        <v>1115.1979262263826</v>
      </c>
      <c r="R45" s="40">
        <v>22.921111629696412</v>
      </c>
    </row>
    <row r="46" spans="1:18" s="76" customFormat="1" ht="13.5" thickBot="1" x14ac:dyDescent="0.25">
      <c r="A46" s="129" t="str">
        <f>VLOOKUP("&lt;Zeilentitel_32&gt;",Uebersetzungen!$B$3:$E$63,Uebersetzungen!$B$2+1,FALSE)</f>
        <v>Tessin</v>
      </c>
      <c r="B46" s="130">
        <v>300912.00000000006</v>
      </c>
      <c r="C46" s="131">
        <v>11632.831237551592</v>
      </c>
      <c r="D46" s="132">
        <v>7.0144611026033719</v>
      </c>
      <c r="E46" s="133">
        <v>190838.45669445081</v>
      </c>
      <c r="F46" s="132">
        <v>1.0727284628367451</v>
      </c>
      <c r="G46" s="131">
        <v>15844.058289190465</v>
      </c>
      <c r="H46" s="134">
        <v>6.1401634253308677</v>
      </c>
      <c r="I46" s="135">
        <v>373.67666407425395</v>
      </c>
      <c r="J46" s="136">
        <v>39.66474407671145</v>
      </c>
      <c r="K46" s="133">
        <v>6414.487527319855</v>
      </c>
      <c r="L46" s="132">
        <v>10.058757188091755</v>
      </c>
      <c r="M46" s="131">
        <v>2307.7717233646054</v>
      </c>
      <c r="N46" s="134">
        <v>16.32911256844644</v>
      </c>
      <c r="O46" s="131">
        <v>68524.125361653612</v>
      </c>
      <c r="P46" s="132">
        <v>2.6467796857323269</v>
      </c>
      <c r="Q46" s="131">
        <v>4976.5925023948967</v>
      </c>
      <c r="R46" s="137">
        <v>10.921294296070059</v>
      </c>
    </row>
    <row r="47" spans="1:18" s="76" customFormat="1" ht="12.75" x14ac:dyDescent="0.2">
      <c r="A47" s="8"/>
      <c r="B47" s="5"/>
      <c r="C47" s="9"/>
      <c r="D47" s="10"/>
      <c r="E47" s="10"/>
      <c r="F47" s="10"/>
      <c r="G47" s="11"/>
      <c r="H47" s="12"/>
      <c r="I47" s="11"/>
      <c r="J47" s="12"/>
      <c r="K47" s="11"/>
      <c r="L47" s="12"/>
      <c r="M47" s="11"/>
      <c r="N47" s="12"/>
      <c r="O47" s="11"/>
      <c r="P47" s="12"/>
      <c r="Q47" s="11"/>
      <c r="R47" s="12"/>
    </row>
    <row r="48" spans="1:18" s="76" customFormat="1" ht="12.75" x14ac:dyDescent="0.2">
      <c r="A48" s="16" t="str">
        <f>VLOOKUP("&lt;Legende_1&gt;",Uebersetzungen!$B$3:$E$63,Uebersetzungen!$B$2+1,FALSE)</f>
        <v xml:space="preserve">Ab 2010 stammen die Daten aus einer Stichprobenerhebung der ständigen Wohnbevölkerung ab vollendetem 15. Altersjahr, die in Privathaushalten lebt. </v>
      </c>
      <c r="B48" s="5"/>
      <c r="C48" s="9"/>
      <c r="D48" s="10"/>
      <c r="E48" s="10"/>
      <c r="F48" s="10"/>
      <c r="G48" s="11"/>
      <c r="H48" s="12"/>
      <c r="I48" s="11"/>
      <c r="J48" s="12"/>
      <c r="K48" s="11"/>
      <c r="L48" s="12"/>
      <c r="M48" s="11"/>
      <c r="N48" s="12"/>
      <c r="O48" s="11"/>
      <c r="P48" s="12"/>
      <c r="Q48" s="11"/>
      <c r="R48" s="12"/>
    </row>
    <row r="49" spans="1:18" s="76" customFormat="1" ht="12.75" x14ac:dyDescent="0.2">
      <c r="A49" s="16" t="str">
        <f>VLOOKUP("&lt;Legende_2&gt;",Uebersetzungen!$B$3:$E$63,Uebersetzungen!$B$2+1,FALSE)</f>
        <v>Nicht befragt wurden Diplomaten, internationale Funktionäre und deren Familienangehörige. Diese Daten sind mit jenen der frühreren Jahre nicht direkt vergleichbar.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s="76" customFormat="1" ht="12.75" x14ac:dyDescent="0.2">
      <c r="A50" s="16" t="str">
        <f>VLOOKUP("&lt;Legende_3&gt;",Uebersetzungen!$B$3:$E$63,Uebersetzungen!$B$2+1,FALSE)</f>
        <v>Das Vertrauensintervall zeigt die Genauigkeit der Resultate einer Stichprobenerhebung.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1:18" s="76" customFormat="1" ht="12.75" x14ac:dyDescent="0.2">
      <c r="A51" s="16" t="str">
        <f>VLOOKUP("&lt;Legende_4&gt;",Uebersetzungen!$B$3:$E$63,Uebersetzungen!$B$2+1,FALSE)</f>
        <v>(): Extrapolation aufgrund von 49 oder weniger Beobachtungen. Die Resultate sind mit grosser Vorsicht zu interpretieren.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s="76" customFormat="1" ht="12.75" x14ac:dyDescent="0.2">
      <c r="A52" s="13" t="str">
        <f>VLOOKUP("&lt;Legende_5&gt;",Uebersetzungen!$B$3:$E$63,Uebersetzungen!$B$2+1,FALSE)</f>
        <v>X: Extrapolation aufgrund von 4 oder weniger Beobachtungen. Die Resultate werden aus Gründen des Datenschutzes nicht publiziert.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s="76" customFormat="1" ht="12.75" x14ac:dyDescent="0.2">
      <c r="A53" s="13" t="str">
        <f>VLOOKUP("&lt;Legende_6&gt;",Uebersetzungen!$B$3:$E$63,Uebersetzungen!$B$2+1,FALSE)</f>
        <v>* inkl. andere aus dem Islam hervorgegangene Gemeinschaften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 s="76" customFormat="1" ht="12.75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18" s="76" customFormat="1" ht="12.75" x14ac:dyDescent="0.2">
      <c r="A55" s="16" t="str">
        <f>VLOOKUP("&lt;quelle_1&gt;",Uebersetzungen!$B$3:$E$63,Uebersetzungen!$B$2+1,FALSE)</f>
        <v>Quelle: BFS (Strukturerhebung)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8" s="76" customFormat="1" ht="12.75" x14ac:dyDescent="0.2">
      <c r="A56" s="13" t="str">
        <f>VLOOKUP("&lt;aktualisierung&gt;",Uebersetzungen!$B$3:$E$213,Uebersetzungen!$B$2+1,FALSE)</f>
        <v>Letztmals aktualisiert am: 29.01.2026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</sheetData>
  <sheetProtection sheet="1" objects="1" scenarios="1"/>
  <mergeCells count="11">
    <mergeCell ref="Q13:R13"/>
    <mergeCell ref="A7:D7"/>
    <mergeCell ref="B12:R12"/>
    <mergeCell ref="B13:B14"/>
    <mergeCell ref="C13:D13"/>
    <mergeCell ref="E13:F13"/>
    <mergeCell ref="G13:H13"/>
    <mergeCell ref="I13:J13"/>
    <mergeCell ref="K13:L13"/>
    <mergeCell ref="M13:N13"/>
    <mergeCell ref="O13:P13"/>
  </mergeCells>
  <pageMargins left="0.7" right="0.7" top="0.75" bottom="0.75" header="0.3" footer="0.3"/>
  <pageSetup paperSize="9" orientation="portrait" r:id="rId1"/>
  <ignoredErrors>
    <ignoredError sqref="D14 F14 H14 J14 L14 N14 P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Option Button 1">
              <controlPr defaultSize="0" autoFill="0" autoLine="0" autoPict="0">
                <anchor moveWithCells="1">
                  <from>
                    <xdr:col>6</xdr:col>
                    <xdr:colOff>295275</xdr:colOff>
                    <xdr:row>1</xdr:row>
                    <xdr:rowOff>114300</xdr:rowOff>
                  </from>
                  <to>
                    <xdr:col>7</xdr:col>
                    <xdr:colOff>695325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Option Button 2">
              <controlPr defaultSize="0" autoFill="0" autoLine="0" autoPict="0">
                <anchor moveWithCells="1">
                  <from>
                    <xdr:col>6</xdr:col>
                    <xdr:colOff>295275</xdr:colOff>
                    <xdr:row>2</xdr:row>
                    <xdr:rowOff>104775</xdr:rowOff>
                  </from>
                  <to>
                    <xdr:col>8</xdr:col>
                    <xdr:colOff>276225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Option Button 3">
              <controlPr defaultSize="0" autoFill="0" autoLine="0" autoPict="0">
                <anchor moveWithCells="1">
                  <from>
                    <xdr:col>6</xdr:col>
                    <xdr:colOff>295275</xdr:colOff>
                    <xdr:row>3</xdr:row>
                    <xdr:rowOff>66675</xdr:rowOff>
                  </from>
                  <to>
                    <xdr:col>7</xdr:col>
                    <xdr:colOff>695325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56"/>
  <sheetViews>
    <sheetView showGridLines="0" workbookViewId="0"/>
  </sheetViews>
  <sheetFormatPr baseColWidth="10" defaultColWidth="9.140625" defaultRowHeight="14.25" x14ac:dyDescent="0.2"/>
  <cols>
    <col min="1" max="1" width="22.7109375" style="53" customWidth="1"/>
    <col min="2" max="2" width="9.140625" style="53" customWidth="1"/>
    <col min="3" max="18" width="12.42578125" style="53" customWidth="1"/>
    <col min="19" max="16384" width="9.140625" style="77"/>
  </cols>
  <sheetData>
    <row r="1" spans="1:18" s="75" customFormat="1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75" customFormat="1" ht="15.75" x14ac:dyDescent="0.25">
      <c r="A2" s="1"/>
      <c r="B2" s="15"/>
      <c r="C2" s="53"/>
      <c r="D2" s="5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75" customFormat="1" ht="15.75" x14ac:dyDescent="0.25">
      <c r="A3" s="1"/>
      <c r="B3" s="15"/>
      <c r="C3" s="53"/>
      <c r="D3" s="5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s="75" customFormat="1" ht="15.75" x14ac:dyDescent="0.25">
      <c r="A4" s="1"/>
      <c r="B4" s="15"/>
      <c r="C4" s="53"/>
      <c r="D4" s="5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75" customFormat="1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s="75" customFormat="1" ht="12.7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s="75" customFormat="1" ht="15.75" customHeight="1" x14ac:dyDescent="0.2">
      <c r="A7" s="146" t="str">
        <f>VLOOKUP("&lt;Fachbereich&gt;",Uebersetzungen!$B$3:$E$63,Uebersetzungen!$B$2+1,FALSE)</f>
        <v>Daten &amp; Statistik</v>
      </c>
      <c r="B7" s="146"/>
      <c r="C7" s="146"/>
      <c r="D7" s="146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</row>
    <row r="8" spans="1:18" s="75" customFormat="1" ht="12.7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s="76" customFormat="1" ht="18" x14ac:dyDescent="0.2">
      <c r="A9" s="19" t="str">
        <f>VLOOKUP("&lt;Titel&gt;",Uebersetzungen!$B$3:$E$63,Uebersetzungen!$B$2+1,FALSE)</f>
        <v>Religionszugehörigkeit nach Kanton</v>
      </c>
      <c r="B9" s="54"/>
      <c r="C9" s="55"/>
      <c r="D9" s="55"/>
      <c r="E9" s="55"/>
      <c r="F9" s="55"/>
      <c r="G9" s="55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s="76" customFormat="1" ht="12.75" x14ac:dyDescent="0.2">
      <c r="A10" s="20" t="str">
        <f>VLOOKUP("&lt;UTitel&gt;",Uebersetzungen!$B$3:$E$63,Uebersetzungen!$B$2+1,FALSE)</f>
        <v>Ständige Wohnbevölkerung ab 15 Jahren</v>
      </c>
      <c r="B10" s="54"/>
      <c r="C10" s="55"/>
      <c r="D10" s="55"/>
      <c r="E10" s="55"/>
      <c r="F10" s="55"/>
      <c r="G10" s="5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8.75" thickBot="1" x14ac:dyDescent="0.3">
      <c r="B11" s="17"/>
      <c r="C11" s="18"/>
      <c r="D11" s="4"/>
      <c r="E11" s="4"/>
      <c r="F11" s="4"/>
      <c r="G11" s="4"/>
      <c r="H11" s="4"/>
      <c r="I11" s="4"/>
      <c r="J11" s="4"/>
    </row>
    <row r="12" spans="1:18" s="78" customFormat="1" ht="18" x14ac:dyDescent="0.25">
      <c r="A12" s="3"/>
      <c r="B12" s="158">
        <v>2017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60"/>
    </row>
    <row r="13" spans="1:18" s="78" customFormat="1" ht="37.5" customHeight="1" x14ac:dyDescent="0.25">
      <c r="A13" s="3"/>
      <c r="B13" s="157" t="str">
        <f>VLOOKUP("&lt;SpaltenTitel_1&gt;",Uebersetzungen!$B$3:$E$63,Uebersetzungen!$B$2+1,FALSE)</f>
        <v>Total</v>
      </c>
      <c r="C13" s="152" t="str">
        <f>VLOOKUP("&lt;SpaltenTitel_2&gt;",Uebersetzungen!$B$3:$E$63,Uebersetzungen!$B$2+1,FALSE)</f>
        <v>Evangelisch-reformiert</v>
      </c>
      <c r="D13" s="152"/>
      <c r="E13" s="152" t="str">
        <f>VLOOKUP("&lt;SpaltenTitel_3&gt;",Uebersetzungen!$B$3:$E$63,Uebersetzungen!$B$2+1,FALSE)</f>
        <v>Römisch-katholisch</v>
      </c>
      <c r="F13" s="152"/>
      <c r="G13" s="152" t="str">
        <f>VLOOKUP("&lt;SpaltenTitel_4&gt;",Uebersetzungen!$B$3:$E$63,Uebersetzungen!$B$2+1,FALSE)</f>
        <v>Andere christliche Glaubensgemeinschaften</v>
      </c>
      <c r="H13" s="152"/>
      <c r="I13" s="152" t="str">
        <f>VLOOKUP("&lt;SpaltenTitel_5&gt;",Uebersetzungen!$B$3:$E$63,Uebersetzungen!$B$2+1,FALSE)</f>
        <v>Jüdische Glaubensgemeinschaften</v>
      </c>
      <c r="J13" s="152"/>
      <c r="K13" s="152" t="str">
        <f>VLOOKUP("&lt;SpaltenTitel_6&gt;",Uebersetzungen!$B$3:$E$63,Uebersetzungen!$B$2+1,FALSE)</f>
        <v>Islamische Glaubensgem.*</v>
      </c>
      <c r="L13" s="152"/>
      <c r="M13" s="152" t="str">
        <f>VLOOKUP("&lt;SpaltenTitel_7&gt;",Uebersetzungen!$B$3:$E$63,Uebersetzungen!$B$2+1,FALSE)</f>
        <v>Andere Religionsgemeinschaften</v>
      </c>
      <c r="N13" s="152"/>
      <c r="O13" s="152" t="str">
        <f>VLOOKUP("&lt;SpaltenTitel_8&gt;",Uebersetzungen!$B$3:$E$63,Uebersetzungen!$B$2+1,FALSE)</f>
        <v>Ohne Religionszugehörigkeit</v>
      </c>
      <c r="P13" s="152"/>
      <c r="Q13" s="152" t="str">
        <f>VLOOKUP("&lt;SpaltenTitel_9&gt;",Uebersetzungen!$B$3:$E$63,Uebersetzungen!$B$2+1,FALSE)</f>
        <v>Religionszugehörigkeit unbekannt</v>
      </c>
      <c r="R13" s="153"/>
    </row>
    <row r="14" spans="1:18" s="78" customFormat="1" ht="39" thickBot="1" x14ac:dyDescent="0.3">
      <c r="A14" s="6"/>
      <c r="B14" s="151"/>
      <c r="C14" s="112" t="str">
        <f>VLOOKUP("&lt;SpaltenTitel_2.1&gt;",Uebersetzungen!$B$3:$E$63,Uebersetzungen!$B$2+1,FALSE)</f>
        <v>Anzahl Personen</v>
      </c>
      <c r="D14" s="112" t="str">
        <f>VLOOKUP("&lt;SpaltenTitel_2.2&gt;",Uebersetzungen!$B$3:$E$63,Uebersetzungen!$B$2+1,FALSE)</f>
        <v>Vertrauens- intervall:          ± (in %)</v>
      </c>
      <c r="E14" s="112" t="str">
        <f>VLOOKUP("&lt;SpaltenTitel_2.1&gt;",Uebersetzungen!$B$3:$E$63,Uebersetzungen!$B$2+1,FALSE)</f>
        <v>Anzahl Personen</v>
      </c>
      <c r="F14" s="112" t="str">
        <f>VLOOKUP("&lt;SpaltenTitel_2.2&gt;",Uebersetzungen!$B$3:$E$63,Uebersetzungen!$B$2+1,FALSE)</f>
        <v>Vertrauens- intervall:          ± (in %)</v>
      </c>
      <c r="G14" s="112" t="str">
        <f>VLOOKUP("&lt;SpaltenTitel_2.1&gt;",Uebersetzungen!$B$3:$E$63,Uebersetzungen!$B$2+1,FALSE)</f>
        <v>Anzahl Personen</v>
      </c>
      <c r="H14" s="112" t="str">
        <f>VLOOKUP("&lt;SpaltenTitel_2.2&gt;",Uebersetzungen!$B$3:$E$63,Uebersetzungen!$B$2+1,FALSE)</f>
        <v>Vertrauens- intervall:          ± (in %)</v>
      </c>
      <c r="I14" s="112" t="str">
        <f>VLOOKUP("&lt;SpaltenTitel_2.1&gt;",Uebersetzungen!$B$3:$E$63,Uebersetzungen!$B$2+1,FALSE)</f>
        <v>Anzahl Personen</v>
      </c>
      <c r="J14" s="112" t="str">
        <f>VLOOKUP("&lt;SpaltenTitel_2.2&gt;",Uebersetzungen!$B$3:$E$63,Uebersetzungen!$B$2+1,FALSE)</f>
        <v>Vertrauens- intervall:          ± (in %)</v>
      </c>
      <c r="K14" s="112" t="str">
        <f>VLOOKUP("&lt;SpaltenTitel_2.1&gt;",Uebersetzungen!$B$3:$E$63,Uebersetzungen!$B$2+1,FALSE)</f>
        <v>Anzahl Personen</v>
      </c>
      <c r="L14" s="112" t="str">
        <f>VLOOKUP("&lt;SpaltenTitel_2.2&gt;",Uebersetzungen!$B$3:$E$63,Uebersetzungen!$B$2+1,FALSE)</f>
        <v>Vertrauens- intervall:          ± (in %)</v>
      </c>
      <c r="M14" s="112" t="str">
        <f>VLOOKUP("&lt;SpaltenTitel_2.1&gt;",Uebersetzungen!$B$3:$E$63,Uebersetzungen!$B$2+1,FALSE)</f>
        <v>Anzahl Personen</v>
      </c>
      <c r="N14" s="112" t="str">
        <f>VLOOKUP("&lt;SpaltenTitel_2.2&gt;",Uebersetzungen!$B$3:$E$63,Uebersetzungen!$B$2+1,FALSE)</f>
        <v>Vertrauens- intervall:          ± (in %)</v>
      </c>
      <c r="O14" s="112" t="str">
        <f>VLOOKUP("&lt;SpaltenTitel_2.1&gt;",Uebersetzungen!$B$3:$E$63,Uebersetzungen!$B$2+1,FALSE)</f>
        <v>Anzahl Personen</v>
      </c>
      <c r="P14" s="112" t="str">
        <f>VLOOKUP("&lt;SpaltenTitel_2.2&gt;",Uebersetzungen!$B$3:$E$63,Uebersetzungen!$B$2+1,FALSE)</f>
        <v>Vertrauens- intervall:          ± (in %)</v>
      </c>
      <c r="Q14" s="112" t="str">
        <f>VLOOKUP("&lt;SpaltenTitel_2.1&gt;",Uebersetzungen!$B$3:$E$63,Uebersetzungen!$B$2+1,FALSE)</f>
        <v>Anzahl Personen</v>
      </c>
      <c r="R14" s="113" t="str">
        <f>VLOOKUP("&lt;SpaltenTitel_2.2&gt;",Uebersetzungen!$B$3:$E$63,Uebersetzungen!$B$2+1,FALSE)</f>
        <v>Vertrauens- intervall:          ± (in %)</v>
      </c>
    </row>
    <row r="15" spans="1:18" s="76" customFormat="1" ht="12.75" x14ac:dyDescent="0.2">
      <c r="A15" s="14" t="str">
        <f>VLOOKUP("&lt;Zeilentitel_1&gt;",Uebersetzungen!$B$3:$E$63,Uebersetzungen!$B$2+1,FALSE)</f>
        <v>Total</v>
      </c>
      <c r="B15" s="28">
        <v>7036199.000000082</v>
      </c>
      <c r="C15" s="108">
        <v>1675629.8193928436</v>
      </c>
      <c r="D15" s="119">
        <v>0.66126061633660904</v>
      </c>
      <c r="E15" s="120">
        <v>2524414.4310388044</v>
      </c>
      <c r="F15" s="119">
        <v>0.48656415538668224</v>
      </c>
      <c r="G15" s="109">
        <v>412400.13448684866</v>
      </c>
      <c r="H15" s="121">
        <v>1.5967866796629839</v>
      </c>
      <c r="I15" s="109">
        <v>18091.809432976559</v>
      </c>
      <c r="J15" s="119">
        <v>7.5934233223500254</v>
      </c>
      <c r="K15" s="110">
        <v>379747.61239947507</v>
      </c>
      <c r="L15" s="119">
        <v>1.7692015210778236</v>
      </c>
      <c r="M15" s="109">
        <v>96723.32551352022</v>
      </c>
      <c r="N15" s="121">
        <v>3.4048055649025142</v>
      </c>
      <c r="O15" s="108">
        <v>1830554.1696390628</v>
      </c>
      <c r="P15" s="119">
        <v>0.64971508869795502</v>
      </c>
      <c r="Q15" s="109">
        <v>98637.698096548193</v>
      </c>
      <c r="R15" s="122">
        <v>3.1874143794410714</v>
      </c>
    </row>
    <row r="16" spans="1:18" s="76" customFormat="1" ht="12.75" x14ac:dyDescent="0.2">
      <c r="A16" s="56" t="str">
        <f>VLOOKUP("&lt;Zeilentitel_2&gt;",Uebersetzungen!$B$3:$E$63,Uebersetzungen!$B$2+1,FALSE)</f>
        <v>Genferseeregion</v>
      </c>
      <c r="B16" s="114">
        <v>1315040.0000000233</v>
      </c>
      <c r="C16" s="57">
        <v>196349.06215100453</v>
      </c>
      <c r="D16" s="58">
        <v>1.6549669612286444</v>
      </c>
      <c r="E16" s="59">
        <v>510913.92029606999</v>
      </c>
      <c r="F16" s="58">
        <v>0.91203853617138386</v>
      </c>
      <c r="G16" s="57">
        <v>72978.266515143114</v>
      </c>
      <c r="H16" s="60">
        <v>3.1258280530902551</v>
      </c>
      <c r="I16" s="57">
        <v>6286.8835836243989</v>
      </c>
      <c r="J16" s="58">
        <v>10.62022101512035</v>
      </c>
      <c r="K16" s="59">
        <v>67270.873806405521</v>
      </c>
      <c r="L16" s="58">
        <v>3.3955994678689025</v>
      </c>
      <c r="M16" s="57">
        <v>17885.809959502545</v>
      </c>
      <c r="N16" s="60">
        <v>6.4372177030351567</v>
      </c>
      <c r="O16" s="57">
        <v>412974.70829242526</v>
      </c>
      <c r="P16" s="58">
        <v>1.0981143027059532</v>
      </c>
      <c r="Q16" s="57">
        <v>30380.475395848211</v>
      </c>
      <c r="R16" s="61">
        <v>4.9505463314348273</v>
      </c>
    </row>
    <row r="17" spans="1:18" s="76" customFormat="1" ht="12.75" x14ac:dyDescent="0.2">
      <c r="A17" s="7" t="str">
        <f>VLOOKUP("&lt;Zeilentitel_3&gt;",Uebersetzungen!$B$3:$E$63,Uebersetzungen!$B$2+1,FALSE)</f>
        <v>Waadt</v>
      </c>
      <c r="B17" s="115">
        <v>647327.00000001583</v>
      </c>
      <c r="C17" s="29">
        <v>147221.51108360844</v>
      </c>
      <c r="D17" s="30">
        <v>1.7753566756645216</v>
      </c>
      <c r="E17" s="31">
        <v>188109.55334629072</v>
      </c>
      <c r="F17" s="30">
        <v>1.5622240143709574</v>
      </c>
      <c r="G17" s="29">
        <v>41671.00517967956</v>
      </c>
      <c r="H17" s="32">
        <v>3.8331675648433849</v>
      </c>
      <c r="I17" s="29">
        <v>2312.0362393579003</v>
      </c>
      <c r="J17" s="30">
        <v>16.849781683337781</v>
      </c>
      <c r="K17" s="31">
        <v>33798.982137553045</v>
      </c>
      <c r="L17" s="30">
        <v>4.466373048889789</v>
      </c>
      <c r="M17" s="29">
        <v>9534.361535858643</v>
      </c>
      <c r="N17" s="32">
        <v>8.3022232850289353</v>
      </c>
      <c r="O17" s="29">
        <v>211164.42457129704</v>
      </c>
      <c r="P17" s="30">
        <v>1.4496752464141536</v>
      </c>
      <c r="Q17" s="29">
        <v>13515.125906370518</v>
      </c>
      <c r="R17" s="33">
        <v>6.8389081572215247</v>
      </c>
    </row>
    <row r="18" spans="1:18" s="76" customFormat="1" ht="12.75" x14ac:dyDescent="0.2">
      <c r="A18" s="7" t="str">
        <f>VLOOKUP("&lt;Zeilentitel_4&gt;",Uebersetzungen!$B$3:$E$63,Uebersetzungen!$B$2+1,FALSE)</f>
        <v>Wallis</v>
      </c>
      <c r="B18" s="115">
        <v>285305.00000000111</v>
      </c>
      <c r="C18" s="29">
        <v>15244.415534534788</v>
      </c>
      <c r="D18" s="30">
        <v>8.7196169916405051</v>
      </c>
      <c r="E18" s="31">
        <v>199093.91364129563</v>
      </c>
      <c r="F18" s="30">
        <v>1.3711763577088352</v>
      </c>
      <c r="G18" s="29">
        <v>9398.678446084632</v>
      </c>
      <c r="H18" s="32">
        <v>11.654795116870847</v>
      </c>
      <c r="I18" s="34">
        <v>478.7448712378536</v>
      </c>
      <c r="J18" s="35">
        <v>51.811633450630794</v>
      </c>
      <c r="K18" s="31">
        <v>9617.6027473771592</v>
      </c>
      <c r="L18" s="30">
        <v>11.88397966675395</v>
      </c>
      <c r="M18" s="36">
        <v>2066.6360197703766</v>
      </c>
      <c r="N18" s="37">
        <v>24.917460177779834</v>
      </c>
      <c r="O18" s="29">
        <v>43723.394466843194</v>
      </c>
      <c r="P18" s="30">
        <v>4.9961659429613592</v>
      </c>
      <c r="Q18" s="29">
        <v>5681.6142728573768</v>
      </c>
      <c r="R18" s="33">
        <v>14.681806665641528</v>
      </c>
    </row>
    <row r="19" spans="1:18" s="76" customFormat="1" ht="12.75" x14ac:dyDescent="0.2">
      <c r="A19" s="7" t="str">
        <f>VLOOKUP("&lt;Zeilentitel_5&gt;",Uebersetzungen!$B$3:$E$63,Uebersetzungen!$B$2+1,FALSE)</f>
        <v>Genf</v>
      </c>
      <c r="B19" s="115">
        <v>382408.00000000658</v>
      </c>
      <c r="C19" s="29">
        <v>33883.13553286127</v>
      </c>
      <c r="D19" s="30">
        <v>4.1328472031844132</v>
      </c>
      <c r="E19" s="31">
        <v>123710.45330848356</v>
      </c>
      <c r="F19" s="30">
        <v>1.9170893554089861</v>
      </c>
      <c r="G19" s="29">
        <v>21908.582889378951</v>
      </c>
      <c r="H19" s="32">
        <v>5.5009069453243313</v>
      </c>
      <c r="I19" s="29">
        <v>3496.1024730286431</v>
      </c>
      <c r="J19" s="30">
        <v>13.792123128592404</v>
      </c>
      <c r="K19" s="31">
        <v>23854.288921475305</v>
      </c>
      <c r="L19" s="30">
        <v>5.3563951691202067</v>
      </c>
      <c r="M19" s="29">
        <v>6284.812403873525</v>
      </c>
      <c r="N19" s="32">
        <v>10.480428122112562</v>
      </c>
      <c r="O19" s="29">
        <v>158086.88925428502</v>
      </c>
      <c r="P19" s="30">
        <v>1.6031065162253146</v>
      </c>
      <c r="Q19" s="29">
        <v>11183.735216620315</v>
      </c>
      <c r="R19" s="33">
        <v>7.544252640595456</v>
      </c>
    </row>
    <row r="20" spans="1:18" s="76" customFormat="1" ht="12.75" x14ac:dyDescent="0.2">
      <c r="A20" s="56" t="str">
        <f>VLOOKUP("&lt;Zeilentitel_6&gt;",Uebersetzungen!$B$3:$E$63,Uebersetzungen!$B$2+1,FALSE)</f>
        <v>Espace Mittelland</v>
      </c>
      <c r="B20" s="114">
        <v>1556972.0000000121</v>
      </c>
      <c r="C20" s="57">
        <v>546375.54562556604</v>
      </c>
      <c r="D20" s="58">
        <v>1.0630035154397162</v>
      </c>
      <c r="E20" s="59">
        <v>438050.6307145899</v>
      </c>
      <c r="F20" s="58">
        <v>1.2612908913687302</v>
      </c>
      <c r="G20" s="57">
        <v>88763.410257362018</v>
      </c>
      <c r="H20" s="60">
        <v>3.5505498160717601</v>
      </c>
      <c r="I20" s="62">
        <v>1711.341527113367</v>
      </c>
      <c r="J20" s="63">
        <v>25.878277397554072</v>
      </c>
      <c r="K20" s="59">
        <v>70822.909823563692</v>
      </c>
      <c r="L20" s="58">
        <v>4.2589298193992526</v>
      </c>
      <c r="M20" s="57">
        <v>20960.158543213471</v>
      </c>
      <c r="N20" s="60">
        <v>7.4646981864409314</v>
      </c>
      <c r="O20" s="57">
        <v>368238.25267914945</v>
      </c>
      <c r="P20" s="58">
        <v>1.5039016025747289</v>
      </c>
      <c r="Q20" s="57">
        <v>22049.750829453522</v>
      </c>
      <c r="R20" s="61">
        <v>7.1394520348509749</v>
      </c>
    </row>
    <row r="21" spans="1:18" s="76" customFormat="1" ht="12.75" x14ac:dyDescent="0.2">
      <c r="A21" s="7" t="str">
        <f>VLOOKUP("&lt;Zeilentitel_7&gt;",Uebersetzungen!$B$3:$E$63,Uebersetzungen!$B$2+1,FALSE)</f>
        <v>Bern</v>
      </c>
      <c r="B21" s="115">
        <v>863405.00000000605</v>
      </c>
      <c r="C21" s="29">
        <v>433799.14768386842</v>
      </c>
      <c r="D21" s="30">
        <v>1.1242021094483772</v>
      </c>
      <c r="E21" s="31">
        <v>134679.64520856741</v>
      </c>
      <c r="F21" s="30">
        <v>2.7077448158106447</v>
      </c>
      <c r="G21" s="29">
        <v>58278.012757344397</v>
      </c>
      <c r="H21" s="32">
        <v>4.4110395735179182</v>
      </c>
      <c r="I21" s="34">
        <v>1135.5015349786247</v>
      </c>
      <c r="J21" s="35">
        <v>32.555830568596122</v>
      </c>
      <c r="K21" s="31">
        <v>34095.222034733226</v>
      </c>
      <c r="L21" s="30">
        <v>6.1888277882486999</v>
      </c>
      <c r="M21" s="29">
        <v>12984.795750412484</v>
      </c>
      <c r="N21" s="32">
        <v>9.4404614906735169</v>
      </c>
      <c r="O21" s="29">
        <v>176971.86171628564</v>
      </c>
      <c r="P21" s="30">
        <v>2.2722488709439195</v>
      </c>
      <c r="Q21" s="29">
        <v>11460.81331381545</v>
      </c>
      <c r="R21" s="33">
        <v>10.148230795909898</v>
      </c>
    </row>
    <row r="22" spans="1:18" s="76" customFormat="1" ht="12.75" x14ac:dyDescent="0.2">
      <c r="A22" s="7" t="str">
        <f>VLOOKUP("&lt;Zeilentitel_8&gt;",Uebersetzungen!$B$3:$E$63,Uebersetzungen!$B$2+1,FALSE)</f>
        <v>Freiburg</v>
      </c>
      <c r="B22" s="115">
        <v>256723.99999999889</v>
      </c>
      <c r="C22" s="29">
        <v>29713.81168820916</v>
      </c>
      <c r="D22" s="30">
        <v>6.0096140195556691</v>
      </c>
      <c r="E22" s="31">
        <v>154587.36913508421</v>
      </c>
      <c r="F22" s="30">
        <v>1.7813113876706412</v>
      </c>
      <c r="G22" s="29">
        <v>8565.2061775668135</v>
      </c>
      <c r="H22" s="32">
        <v>12.094666462830627</v>
      </c>
      <c r="I22" s="34">
        <v>171.37258953857213</v>
      </c>
      <c r="J22" s="35">
        <v>86.553140499207217</v>
      </c>
      <c r="K22" s="31">
        <v>10900.677873135577</v>
      </c>
      <c r="L22" s="30">
        <v>11.008538057900752</v>
      </c>
      <c r="M22" s="29">
        <v>2309.7013361256918</v>
      </c>
      <c r="N22" s="32">
        <v>23.814213825274297</v>
      </c>
      <c r="O22" s="29">
        <v>46502.011649371758</v>
      </c>
      <c r="P22" s="30">
        <v>4.7428890183880075</v>
      </c>
      <c r="Q22" s="29">
        <v>3973.8495509670856</v>
      </c>
      <c r="R22" s="33">
        <v>17.659898117729256</v>
      </c>
    </row>
    <row r="23" spans="1:18" s="76" customFormat="1" ht="12.75" x14ac:dyDescent="0.2">
      <c r="A23" s="7" t="str">
        <f>VLOOKUP("&lt;Zeilentitel_9&gt;",Uebersetzungen!$B$3:$E$63,Uebersetzungen!$B$2+1,FALSE)</f>
        <v>Solothurn</v>
      </c>
      <c r="B23" s="115">
        <v>228967.00000000343</v>
      </c>
      <c r="C23" s="29">
        <v>47942.615630067681</v>
      </c>
      <c r="D23" s="30">
        <v>4.567899462179871</v>
      </c>
      <c r="E23" s="31">
        <v>76300.017139333853</v>
      </c>
      <c r="F23" s="30">
        <v>3.3412308329626681</v>
      </c>
      <c r="G23" s="29">
        <v>11170.532724937608</v>
      </c>
      <c r="H23" s="32">
        <v>10.876990445457732</v>
      </c>
      <c r="I23" s="38">
        <v>180.39150845933057</v>
      </c>
      <c r="J23" s="30">
        <v>86.644311944344494</v>
      </c>
      <c r="K23" s="31">
        <v>17470.824125898685</v>
      </c>
      <c r="L23" s="30">
        <v>8.9922864971321417</v>
      </c>
      <c r="M23" s="29">
        <v>3540.0407147637002</v>
      </c>
      <c r="N23" s="32">
        <v>19.522169792417071</v>
      </c>
      <c r="O23" s="29">
        <v>70042.162603334116</v>
      </c>
      <c r="P23" s="30">
        <v>3.5985230107227655</v>
      </c>
      <c r="Q23" s="29">
        <v>2320.415553208521</v>
      </c>
      <c r="R23" s="33">
        <v>24.018435631616576</v>
      </c>
    </row>
    <row r="24" spans="1:18" s="76" customFormat="1" ht="12.75" x14ac:dyDescent="0.2">
      <c r="A24" s="7" t="str">
        <f>VLOOKUP("&lt;Zeilentitel_10&gt;",Uebersetzungen!$B$3:$E$63,Uebersetzungen!$B$2+1,FALSE)</f>
        <v>Neuenburg</v>
      </c>
      <c r="B24" s="115">
        <v>146929.00000000262</v>
      </c>
      <c r="C24" s="29">
        <v>29577.5198917323</v>
      </c>
      <c r="D24" s="30">
        <v>3.9691436377955007</v>
      </c>
      <c r="E24" s="31">
        <v>31436.529288716312</v>
      </c>
      <c r="F24" s="30">
        <v>3.884264532855787</v>
      </c>
      <c r="G24" s="29">
        <v>8615.6777376680147</v>
      </c>
      <c r="H24" s="32">
        <v>8.2610922360278014</v>
      </c>
      <c r="I24" s="34">
        <v>224.07589413683985</v>
      </c>
      <c r="J24" s="35">
        <v>50.96559167243403</v>
      </c>
      <c r="K24" s="31">
        <v>6202.1993736808017</v>
      </c>
      <c r="L24" s="30">
        <v>10.293933055296225</v>
      </c>
      <c r="M24" s="29">
        <v>1702.0635071736981</v>
      </c>
      <c r="N24" s="32">
        <v>19.301576797857223</v>
      </c>
      <c r="O24" s="29">
        <v>65892.676851866549</v>
      </c>
      <c r="P24" s="30">
        <v>2.3031022227656806</v>
      </c>
      <c r="Q24" s="29">
        <v>3278.2574550281097</v>
      </c>
      <c r="R24" s="33">
        <v>13.369369867815319</v>
      </c>
    </row>
    <row r="25" spans="1:18" s="76" customFormat="1" ht="12.75" x14ac:dyDescent="0.2">
      <c r="A25" s="7" t="str">
        <f>VLOOKUP("&lt;Zeilentitel_11&gt;",Uebersetzungen!$B$3:$E$63,Uebersetzungen!$B$2+1,FALSE)</f>
        <v>Jura</v>
      </c>
      <c r="B25" s="115">
        <v>60947.000000000786</v>
      </c>
      <c r="C25" s="29">
        <v>5342.4507316886948</v>
      </c>
      <c r="D25" s="30">
        <v>14.340100320059099</v>
      </c>
      <c r="E25" s="31">
        <v>41047.069942887909</v>
      </c>
      <c r="F25" s="30">
        <v>3.1337536655856622</v>
      </c>
      <c r="G25" s="29">
        <v>2133.9808598452073</v>
      </c>
      <c r="H25" s="32">
        <v>24.267219807991996</v>
      </c>
      <c r="I25" s="38" t="s">
        <v>1</v>
      </c>
      <c r="J25" s="30" t="s">
        <v>1</v>
      </c>
      <c r="K25" s="39">
        <v>2153.9864161154151</v>
      </c>
      <c r="L25" s="35">
        <v>26.661316955912167</v>
      </c>
      <c r="M25" s="34">
        <v>423.5572347378876</v>
      </c>
      <c r="N25" s="37">
        <v>56.509065278976486</v>
      </c>
      <c r="O25" s="29">
        <v>8829.5398582912894</v>
      </c>
      <c r="P25" s="30">
        <v>11.201124965843961</v>
      </c>
      <c r="Q25" s="34">
        <v>1016.4149564343574</v>
      </c>
      <c r="R25" s="40">
        <v>35.510813610640675</v>
      </c>
    </row>
    <row r="26" spans="1:18" s="76" customFormat="1" ht="12.75" x14ac:dyDescent="0.2">
      <c r="A26" s="56" t="str">
        <f>VLOOKUP("&lt;Zeilentitel_12&gt;",Uebersetzungen!$B$3:$E$63,Uebersetzungen!$B$2+1,FALSE)</f>
        <v>Nordwestschweiz</v>
      </c>
      <c r="B26" s="116">
        <v>964614.00000000629</v>
      </c>
      <c r="C26" s="57">
        <v>228955.72592221721</v>
      </c>
      <c r="D26" s="58">
        <v>2.0264825505211466</v>
      </c>
      <c r="E26" s="59">
        <v>269050.62584084173</v>
      </c>
      <c r="F26" s="58">
        <v>1.8416580879342972</v>
      </c>
      <c r="G26" s="57">
        <v>62547.863372175001</v>
      </c>
      <c r="H26" s="60">
        <v>4.4815930426289556</v>
      </c>
      <c r="I26" s="57">
        <v>2231.4219098228295</v>
      </c>
      <c r="J26" s="58">
        <v>25.037490964521798</v>
      </c>
      <c r="K26" s="59">
        <v>66850.179715114602</v>
      </c>
      <c r="L26" s="58">
        <v>4.5577729110817051</v>
      </c>
      <c r="M26" s="57">
        <v>14852.659749537113</v>
      </c>
      <c r="N26" s="60">
        <v>9.6003320673347829</v>
      </c>
      <c r="O26" s="57">
        <v>309113.34122990776</v>
      </c>
      <c r="P26" s="58">
        <v>1.677005980815033</v>
      </c>
      <c r="Q26" s="57">
        <v>11012.182260390084</v>
      </c>
      <c r="R26" s="61">
        <v>10.866601652151829</v>
      </c>
    </row>
    <row r="27" spans="1:18" s="76" customFormat="1" ht="12.75" x14ac:dyDescent="0.2">
      <c r="A27" s="7" t="str">
        <f>VLOOKUP("&lt;Zeilentitel_13&gt;",Uebersetzungen!$B$3:$E$63,Uebersetzungen!$B$2+1,FALSE)</f>
        <v>Basel-Stadt</v>
      </c>
      <c r="B27" s="115">
        <v>163014.00000000157</v>
      </c>
      <c r="C27" s="29">
        <v>25787.608894326419</v>
      </c>
      <c r="D27" s="30">
        <v>6.4018919700404782</v>
      </c>
      <c r="E27" s="31">
        <v>26975.133086235295</v>
      </c>
      <c r="F27" s="30">
        <v>6.3919953945255017</v>
      </c>
      <c r="G27" s="29">
        <v>9306.8825569206692</v>
      </c>
      <c r="H27" s="32">
        <v>11.870758721462311</v>
      </c>
      <c r="I27" s="34">
        <v>1129.5833611089547</v>
      </c>
      <c r="J27" s="35">
        <v>34.271173519341559</v>
      </c>
      <c r="K27" s="31">
        <v>13317.54794155574</v>
      </c>
      <c r="L27" s="30">
        <v>10.203669014683555</v>
      </c>
      <c r="M27" s="29">
        <v>3445.4146285552856</v>
      </c>
      <c r="N27" s="32">
        <v>19.77164616305916</v>
      </c>
      <c r="O27" s="29">
        <v>80899.130957052388</v>
      </c>
      <c r="P27" s="30">
        <v>2.8972751739561651</v>
      </c>
      <c r="Q27" s="29">
        <v>2152.6985742467723</v>
      </c>
      <c r="R27" s="33">
        <v>24.533999652657393</v>
      </c>
    </row>
    <row r="28" spans="1:18" s="76" customFormat="1" ht="12.75" x14ac:dyDescent="0.2">
      <c r="A28" s="7" t="str">
        <f>VLOOKUP("&lt;Zeilentitel_14&gt;",Uebersetzungen!$B$3:$E$63,Uebersetzungen!$B$2+1,FALSE)</f>
        <v>Basel-Landschaft</v>
      </c>
      <c r="B28" s="115">
        <v>241873.00000000553</v>
      </c>
      <c r="C28" s="29">
        <v>72502.654394501587</v>
      </c>
      <c r="D28" s="30">
        <v>3.4808299834037162</v>
      </c>
      <c r="E28" s="31">
        <v>61952.219381683477</v>
      </c>
      <c r="F28" s="30">
        <v>3.9038693934297695</v>
      </c>
      <c r="G28" s="29">
        <v>13382.902136443265</v>
      </c>
      <c r="H28" s="32">
        <v>9.6009514589036726</v>
      </c>
      <c r="I28" s="34">
        <v>451.87743397891001</v>
      </c>
      <c r="J28" s="35">
        <v>53.711494599130624</v>
      </c>
      <c r="K28" s="31">
        <v>13565.34872730954</v>
      </c>
      <c r="L28" s="30">
        <v>9.7855355945010114</v>
      </c>
      <c r="M28" s="29">
        <v>4134.0348709716336</v>
      </c>
      <c r="N28" s="32">
        <v>18.019214402830983</v>
      </c>
      <c r="O28" s="29">
        <v>73163.960666574145</v>
      </c>
      <c r="P28" s="30">
        <v>3.5424845483324905</v>
      </c>
      <c r="Q28" s="29">
        <v>2720.0023885429018</v>
      </c>
      <c r="R28" s="33">
        <v>21.718306987607356</v>
      </c>
    </row>
    <row r="29" spans="1:18" s="76" customFormat="1" ht="12.75" x14ac:dyDescent="0.2">
      <c r="A29" s="7" t="str">
        <f>VLOOKUP("&lt;Zeilentitel_15&gt;",Uebersetzungen!$B$3:$E$63,Uebersetzungen!$B$2+1,FALSE)</f>
        <v>Aargau</v>
      </c>
      <c r="B29" s="115">
        <v>559726.99999999942</v>
      </c>
      <c r="C29" s="29">
        <v>130665.46263338916</v>
      </c>
      <c r="D29" s="30">
        <v>2.6985048928142921</v>
      </c>
      <c r="E29" s="31">
        <v>180123.27337292297</v>
      </c>
      <c r="F29" s="30">
        <v>2.2018572438647341</v>
      </c>
      <c r="G29" s="29">
        <v>39858.078678811085</v>
      </c>
      <c r="H29" s="32">
        <v>5.602264611405225</v>
      </c>
      <c r="I29" s="34">
        <v>649.96111473496558</v>
      </c>
      <c r="J29" s="35">
        <v>49.465293753907723</v>
      </c>
      <c r="K29" s="31">
        <v>39967.283046249293</v>
      </c>
      <c r="L29" s="30">
        <v>5.9603457126131287</v>
      </c>
      <c r="M29" s="29">
        <v>7273.2102500101937</v>
      </c>
      <c r="N29" s="32">
        <v>13.846656544575721</v>
      </c>
      <c r="O29" s="29">
        <v>155050.24960628123</v>
      </c>
      <c r="P29" s="30">
        <v>2.4695036088409608</v>
      </c>
      <c r="Q29" s="29">
        <v>6139.4812976004096</v>
      </c>
      <c r="R29" s="33">
        <v>14.605407100996381</v>
      </c>
    </row>
    <row r="30" spans="1:18" s="76" customFormat="1" ht="12.75" x14ac:dyDescent="0.2">
      <c r="A30" s="7" t="str">
        <f>VLOOKUP("&lt;Zeilentitel_16&gt;",Uebersetzungen!$B$3:$E$63,Uebersetzungen!$B$2+1,FALSE)</f>
        <v>Zürich</v>
      </c>
      <c r="B30" s="117">
        <v>1247724.0000000258</v>
      </c>
      <c r="C30" s="29">
        <v>353331.58806549473</v>
      </c>
      <c r="D30" s="30">
        <v>1.563896921598358</v>
      </c>
      <c r="E30" s="31">
        <v>327112.11038787151</v>
      </c>
      <c r="F30" s="30">
        <v>1.6970731775294621</v>
      </c>
      <c r="G30" s="29">
        <v>82514.511420456183</v>
      </c>
      <c r="H30" s="32">
        <v>3.8693339035064498</v>
      </c>
      <c r="I30" s="29">
        <v>5552.8612250407341</v>
      </c>
      <c r="J30" s="30">
        <v>15.191230217400676</v>
      </c>
      <c r="K30" s="31">
        <v>80991.634757024876</v>
      </c>
      <c r="L30" s="30">
        <v>4.1057831059771717</v>
      </c>
      <c r="M30" s="29">
        <v>21040.978187350735</v>
      </c>
      <c r="N30" s="32">
        <v>7.9501345973797504</v>
      </c>
      <c r="O30" s="29">
        <v>364397.35392990115</v>
      </c>
      <c r="P30" s="30">
        <v>1.5928810188029638</v>
      </c>
      <c r="Q30" s="29">
        <v>12782.962026886076</v>
      </c>
      <c r="R30" s="33">
        <v>10.004107590514055</v>
      </c>
    </row>
    <row r="31" spans="1:18" s="76" customFormat="1" ht="12.75" x14ac:dyDescent="0.2">
      <c r="A31" s="56" t="str">
        <f>VLOOKUP("&lt;Zeilentitel_17&gt;",Uebersetzungen!$B$3:$E$63,Uebersetzungen!$B$2+1,FALSE)</f>
        <v>Ostschweiz</v>
      </c>
      <c r="B31" s="114">
        <v>979901.00000000861</v>
      </c>
      <c r="C31" s="57">
        <v>268873.11012138875</v>
      </c>
      <c r="D31" s="58">
        <v>1.6847127891734277</v>
      </c>
      <c r="E31" s="59">
        <v>378772.45277235936</v>
      </c>
      <c r="F31" s="58">
        <v>1.3403138595814772</v>
      </c>
      <c r="G31" s="57">
        <v>58414.152156339733</v>
      </c>
      <c r="H31" s="60">
        <v>4.3662444467612511</v>
      </c>
      <c r="I31" s="64">
        <v>918.67826348959522</v>
      </c>
      <c r="J31" s="63">
        <v>36.263233222013376</v>
      </c>
      <c r="K31" s="59">
        <v>58908.33455907413</v>
      </c>
      <c r="L31" s="58">
        <v>4.5848842669667684</v>
      </c>
      <c r="M31" s="57">
        <v>11204.537145704018</v>
      </c>
      <c r="N31" s="60">
        <v>10.421453944881476</v>
      </c>
      <c r="O31" s="57">
        <v>192862.44488370727</v>
      </c>
      <c r="P31" s="58">
        <v>2.1933445701064436</v>
      </c>
      <c r="Q31" s="57">
        <v>9947.290097945679</v>
      </c>
      <c r="R31" s="61">
        <v>10.847242220140625</v>
      </c>
    </row>
    <row r="32" spans="1:18" s="76" customFormat="1" ht="12.75" x14ac:dyDescent="0.2">
      <c r="A32" s="7" t="str">
        <f>VLOOKUP("&lt;Zeilentitel_18&gt;",Uebersetzungen!$B$3:$E$63,Uebersetzungen!$B$2+1,FALSE)</f>
        <v>Glarus</v>
      </c>
      <c r="B32" s="115">
        <v>33877.000000000378</v>
      </c>
      <c r="C32" s="29">
        <v>10852.886679195219</v>
      </c>
      <c r="D32" s="30">
        <v>8.7532336719258304</v>
      </c>
      <c r="E32" s="31">
        <v>10948.991503701089</v>
      </c>
      <c r="F32" s="30">
        <v>8.9766023850104091</v>
      </c>
      <c r="G32" s="36">
        <v>1905.3851163266872</v>
      </c>
      <c r="H32" s="37">
        <v>25.507961070311246</v>
      </c>
      <c r="I32" s="38" t="s">
        <v>1</v>
      </c>
      <c r="J32" s="30" t="s">
        <v>1</v>
      </c>
      <c r="K32" s="31">
        <v>2615.9231440535591</v>
      </c>
      <c r="L32" s="30">
        <v>23.68903456176611</v>
      </c>
      <c r="M32" s="34">
        <v>571.4088118441806</v>
      </c>
      <c r="N32" s="37">
        <v>48.362876690675137</v>
      </c>
      <c r="O32" s="29">
        <v>6548.1109053729188</v>
      </c>
      <c r="P32" s="30">
        <v>12.783865696998172</v>
      </c>
      <c r="Q32" s="38">
        <v>434.29383950673002</v>
      </c>
      <c r="R32" s="33">
        <v>53.560156646315868</v>
      </c>
    </row>
    <row r="33" spans="1:18" s="76" customFormat="1" ht="12.75" x14ac:dyDescent="0.2">
      <c r="A33" s="7" t="str">
        <f>VLOOKUP("&lt;Zeilentitel_19&gt;",Uebersetzungen!$B$3:$E$63,Uebersetzungen!$B$2+1,FALSE)</f>
        <v>Schaffhausen</v>
      </c>
      <c r="B33" s="115">
        <v>68544.999999999985</v>
      </c>
      <c r="C33" s="29">
        <v>23806.956909463544</v>
      </c>
      <c r="D33" s="30">
        <v>5.9072035687289448</v>
      </c>
      <c r="E33" s="31">
        <v>16012.464019632551</v>
      </c>
      <c r="F33" s="30">
        <v>8.0076364070792518</v>
      </c>
      <c r="G33" s="29">
        <v>4996.1160642352879</v>
      </c>
      <c r="H33" s="32">
        <v>16.157653393444726</v>
      </c>
      <c r="I33" s="38" t="s">
        <v>1</v>
      </c>
      <c r="J33" s="30" t="s">
        <v>1</v>
      </c>
      <c r="K33" s="31">
        <v>4809.3270890965614</v>
      </c>
      <c r="L33" s="30">
        <v>17.36975444826744</v>
      </c>
      <c r="M33" s="36">
        <v>787.82294541099395</v>
      </c>
      <c r="N33" s="37">
        <v>41.221739784434526</v>
      </c>
      <c r="O33" s="29">
        <v>17211.709447414247</v>
      </c>
      <c r="P33" s="30">
        <v>7.6529821209846736</v>
      </c>
      <c r="Q33" s="34">
        <v>847.00350361623123</v>
      </c>
      <c r="R33" s="40">
        <v>39.441680976265772</v>
      </c>
    </row>
    <row r="34" spans="1:18" s="76" customFormat="1" ht="12.75" x14ac:dyDescent="0.2">
      <c r="A34" s="7" t="str">
        <f>VLOOKUP("&lt;Zeilentitel_20&gt;",Uebersetzungen!$B$3:$E$63,Uebersetzungen!$B$2+1,FALSE)</f>
        <v>Appenzell Ausserrhoden</v>
      </c>
      <c r="B34" s="115">
        <v>46018.999999999913</v>
      </c>
      <c r="C34" s="29">
        <v>17477.592909458544</v>
      </c>
      <c r="D34" s="30">
        <v>6.5829874084006397</v>
      </c>
      <c r="E34" s="31">
        <v>12719.73925381703</v>
      </c>
      <c r="F34" s="30">
        <v>8.4940489761018974</v>
      </c>
      <c r="G34" s="29">
        <v>3331.9819929169194</v>
      </c>
      <c r="H34" s="32">
        <v>19.682858240404684</v>
      </c>
      <c r="I34" s="38" t="s">
        <v>1</v>
      </c>
      <c r="J34" s="30" t="s">
        <v>1</v>
      </c>
      <c r="K34" s="39">
        <v>1421.5522216212703</v>
      </c>
      <c r="L34" s="35">
        <v>32.676921196608454</v>
      </c>
      <c r="M34" s="34">
        <v>631.17962050910876</v>
      </c>
      <c r="N34" s="37">
        <v>47.020343762006597</v>
      </c>
      <c r="O34" s="29">
        <v>9949.1464671055764</v>
      </c>
      <c r="P34" s="30">
        <v>10.160653632294924</v>
      </c>
      <c r="Q34" s="34">
        <v>377.97220735855188</v>
      </c>
      <c r="R34" s="40">
        <v>58.152023159394624</v>
      </c>
    </row>
    <row r="35" spans="1:18" s="76" customFormat="1" ht="12.75" x14ac:dyDescent="0.2">
      <c r="A35" s="7" t="str">
        <f>VLOOKUP("&lt;Zeilentitel_21&gt;",Uebersetzungen!$B$3:$E$63,Uebersetzungen!$B$2+1,FALSE)</f>
        <v>Appenzell Innerrhoden</v>
      </c>
      <c r="B35" s="115">
        <v>13295.000000000244</v>
      </c>
      <c r="C35" s="29">
        <v>1005.4084861228602</v>
      </c>
      <c r="D35" s="30">
        <v>34.972806535492126</v>
      </c>
      <c r="E35" s="31">
        <v>9661.4585700600328</v>
      </c>
      <c r="F35" s="30">
        <v>6.0880344733759424</v>
      </c>
      <c r="G35" s="34">
        <v>397.05674545234064</v>
      </c>
      <c r="H35" s="37">
        <v>59.08992384880068</v>
      </c>
      <c r="I35" s="38" t="s">
        <v>1</v>
      </c>
      <c r="J35" s="30" t="s">
        <v>1</v>
      </c>
      <c r="K35" s="41">
        <v>411.02128028540318</v>
      </c>
      <c r="L35" s="35">
        <v>64.552671161236319</v>
      </c>
      <c r="M35" s="34">
        <v>272.97270460597889</v>
      </c>
      <c r="N35" s="37">
        <v>78.909575656849952</v>
      </c>
      <c r="O35" s="36">
        <v>1439.8718457990362</v>
      </c>
      <c r="P35" s="35">
        <v>29.352683984081484</v>
      </c>
      <c r="Q35" s="38" t="s">
        <v>1</v>
      </c>
      <c r="R35" s="33" t="s">
        <v>1</v>
      </c>
    </row>
    <row r="36" spans="1:18" s="76" customFormat="1" ht="12.75" x14ac:dyDescent="0.2">
      <c r="A36" s="7" t="str">
        <f>VLOOKUP("&lt;Zeilentitel_22&gt;",Uebersetzungen!$B$3:$E$63,Uebersetzungen!$B$2+1,FALSE)</f>
        <v>St. Gallen</v>
      </c>
      <c r="B36" s="115">
        <v>420349.00000000303</v>
      </c>
      <c r="C36" s="29">
        <v>88953.139790640751</v>
      </c>
      <c r="D36" s="30">
        <v>3.3321713110175382</v>
      </c>
      <c r="E36" s="31">
        <v>185994.29692825011</v>
      </c>
      <c r="F36" s="30">
        <v>1.9455028023848329</v>
      </c>
      <c r="G36" s="29">
        <v>26161.37766116429</v>
      </c>
      <c r="H36" s="32">
        <v>6.9965930916360115</v>
      </c>
      <c r="I36" s="34">
        <v>487.50834637105754</v>
      </c>
      <c r="J36" s="35">
        <v>54.142574014673507</v>
      </c>
      <c r="K36" s="31">
        <v>31690.414658087691</v>
      </c>
      <c r="L36" s="30">
        <v>6.6525195633285295</v>
      </c>
      <c r="M36" s="29">
        <v>5371.3430481603518</v>
      </c>
      <c r="N36" s="32">
        <v>15.792348613768956</v>
      </c>
      <c r="O36" s="29">
        <v>77558.368521118493</v>
      </c>
      <c r="P36" s="30">
        <v>3.7300200319928902</v>
      </c>
      <c r="Q36" s="29">
        <v>4132.5510462102093</v>
      </c>
      <c r="R36" s="33">
        <v>17.60958337130408</v>
      </c>
    </row>
    <row r="37" spans="1:18" s="76" customFormat="1" ht="12.75" x14ac:dyDescent="0.2">
      <c r="A37" s="65" t="str">
        <f>VLOOKUP("&lt;Zeilentitel_23&gt;",Uebersetzungen!$B$3:$E$63,Uebersetzungen!$B$2+1,FALSE)</f>
        <v>Graubünden</v>
      </c>
      <c r="B37" s="118">
        <v>168961.00000000134</v>
      </c>
      <c r="C37" s="66">
        <v>52907.205905862109</v>
      </c>
      <c r="D37" s="67">
        <v>3.9634837815989306</v>
      </c>
      <c r="E37" s="68">
        <v>72082.776669530882</v>
      </c>
      <c r="F37" s="67">
        <v>3.2193045349121165</v>
      </c>
      <c r="G37" s="66">
        <v>6475.4304594964124</v>
      </c>
      <c r="H37" s="69">
        <v>14.32086644133935</v>
      </c>
      <c r="I37" s="70" t="s">
        <v>1</v>
      </c>
      <c r="J37" s="67" t="s">
        <v>1</v>
      </c>
      <c r="K37" s="68">
        <v>3056.4022488875635</v>
      </c>
      <c r="L37" s="67">
        <v>21.918780635040036</v>
      </c>
      <c r="M37" s="71">
        <v>1334.5904771212297</v>
      </c>
      <c r="N37" s="72">
        <v>32.494538767315589</v>
      </c>
      <c r="O37" s="66">
        <v>30952.922264802848</v>
      </c>
      <c r="P37" s="67">
        <v>5.9156613717836004</v>
      </c>
      <c r="Q37" s="73">
        <v>2151.6719743002882</v>
      </c>
      <c r="R37" s="74">
        <v>24.858692819433671</v>
      </c>
    </row>
    <row r="38" spans="1:18" s="76" customFormat="1" ht="12.75" x14ac:dyDescent="0.2">
      <c r="A38" s="7" t="str">
        <f>VLOOKUP("&lt;Zeilentitel_24&gt;",Uebersetzungen!$B$3:$E$63,Uebersetzungen!$B$2+1,FALSE)</f>
        <v>Thurgau</v>
      </c>
      <c r="B38" s="115">
        <v>228855.00000000367</v>
      </c>
      <c r="C38" s="29">
        <v>73869.919440645739</v>
      </c>
      <c r="D38" s="30">
        <v>2.3478319976584472</v>
      </c>
      <c r="E38" s="31">
        <v>71352.725827367598</v>
      </c>
      <c r="F38" s="30">
        <v>2.4957482467254342</v>
      </c>
      <c r="G38" s="29">
        <v>15146.804116747799</v>
      </c>
      <c r="H38" s="32">
        <v>6.3383005390115059</v>
      </c>
      <c r="I38" s="34">
        <v>247.73456877505569</v>
      </c>
      <c r="J38" s="35">
        <v>51.190846892984787</v>
      </c>
      <c r="K38" s="31">
        <v>14903.693917042076</v>
      </c>
      <c r="L38" s="30">
        <v>6.8207611503193446</v>
      </c>
      <c r="M38" s="29">
        <v>2235.2195380521716</v>
      </c>
      <c r="N38" s="32">
        <v>16.711916656918515</v>
      </c>
      <c r="O38" s="29">
        <v>49202.315432094205</v>
      </c>
      <c r="P38" s="30">
        <v>3.2364807237638114</v>
      </c>
      <c r="Q38" s="29">
        <v>1896.5871592790768</v>
      </c>
      <c r="R38" s="33">
        <v>18.25768876189861</v>
      </c>
    </row>
    <row r="39" spans="1:18" s="76" customFormat="1" ht="12.75" x14ac:dyDescent="0.2">
      <c r="A39" s="56" t="str">
        <f>VLOOKUP("&lt;Zeilentitel_25&gt;",Uebersetzungen!$B$3:$E$63,Uebersetzungen!$B$2+1,FALSE)</f>
        <v>Zentralschweiz</v>
      </c>
      <c r="B39" s="116">
        <v>671090.0000000078</v>
      </c>
      <c r="C39" s="57">
        <v>69806.282404305399</v>
      </c>
      <c r="D39" s="58">
        <v>3.2803359250387736</v>
      </c>
      <c r="E39" s="59">
        <v>404139.06758865056</v>
      </c>
      <c r="F39" s="58">
        <v>0.90890296539268478</v>
      </c>
      <c r="G39" s="57">
        <v>30234.957426643799</v>
      </c>
      <c r="H39" s="60">
        <v>5.422694820192266</v>
      </c>
      <c r="I39" s="64">
        <v>813.52763801412993</v>
      </c>
      <c r="J39" s="63">
        <v>33.634762806745393</v>
      </c>
      <c r="K39" s="59">
        <v>28608.097265893703</v>
      </c>
      <c r="L39" s="58">
        <v>5.8278190456548051</v>
      </c>
      <c r="M39" s="57">
        <v>8493.7354207677272</v>
      </c>
      <c r="N39" s="60">
        <v>10.111624619987062</v>
      </c>
      <c r="O39" s="57">
        <v>122355.03049588441</v>
      </c>
      <c r="P39" s="58">
        <v>2.4248110724921621</v>
      </c>
      <c r="Q39" s="57">
        <v>6639.301759848001</v>
      </c>
      <c r="R39" s="61">
        <v>11.462650280703189</v>
      </c>
    </row>
    <row r="40" spans="1:18" s="76" customFormat="1" ht="12.75" x14ac:dyDescent="0.2">
      <c r="A40" s="7" t="str">
        <f>VLOOKUP("&lt;Zeilentitel_26&gt;",Uebersetzungen!$B$3:$E$63,Uebersetzungen!$B$2+1,FALSE)</f>
        <v>Luzern</v>
      </c>
      <c r="B40" s="115">
        <v>337045.00000000192</v>
      </c>
      <c r="C40" s="29">
        <v>34584.940471956426</v>
      </c>
      <c r="D40" s="30">
        <v>4.2535229042421072</v>
      </c>
      <c r="E40" s="31">
        <v>202697.57160747203</v>
      </c>
      <c r="F40" s="30">
        <v>1.1711977642648028</v>
      </c>
      <c r="G40" s="29">
        <v>15795.502576051174</v>
      </c>
      <c r="H40" s="32">
        <v>6.8328048135832526</v>
      </c>
      <c r="I40" s="34">
        <v>246.08931953331756</v>
      </c>
      <c r="J40" s="35">
        <v>55.435895381909106</v>
      </c>
      <c r="K40" s="31">
        <v>14810.092919277087</v>
      </c>
      <c r="L40" s="30">
        <v>7.2864091022999009</v>
      </c>
      <c r="M40" s="29">
        <v>4661.7334276303827</v>
      </c>
      <c r="N40" s="32">
        <v>12.665255390288403</v>
      </c>
      <c r="O40" s="29">
        <v>60689.200231371688</v>
      </c>
      <c r="P40" s="30">
        <v>3.1256575119522445</v>
      </c>
      <c r="Q40" s="29">
        <v>3559.8694467096384</v>
      </c>
      <c r="R40" s="33">
        <v>14.102553462069041</v>
      </c>
    </row>
    <row r="41" spans="1:18" s="76" customFormat="1" ht="12.75" x14ac:dyDescent="0.2">
      <c r="A41" s="7" t="str">
        <f>VLOOKUP("&lt;Zeilentitel_27&gt;",Uebersetzungen!$B$3:$E$63,Uebersetzungen!$B$2+1,FALSE)</f>
        <v>Uri</v>
      </c>
      <c r="B41" s="115">
        <v>30187.999999999945</v>
      </c>
      <c r="C41" s="34">
        <v>1399.4270677141299</v>
      </c>
      <c r="D41" s="35">
        <v>28.977498471272447</v>
      </c>
      <c r="E41" s="31">
        <v>24042.56986508215</v>
      </c>
      <c r="F41" s="30">
        <v>3.2744646575062455</v>
      </c>
      <c r="G41" s="34">
        <v>821.16668502270693</v>
      </c>
      <c r="H41" s="37">
        <v>39.717300963285616</v>
      </c>
      <c r="I41" s="29" t="s">
        <v>1</v>
      </c>
      <c r="J41" s="30" t="s">
        <v>1</v>
      </c>
      <c r="K41" s="41">
        <v>602.82292587466804</v>
      </c>
      <c r="L41" s="35">
        <v>48.688349103793634</v>
      </c>
      <c r="M41" s="34" t="s">
        <v>1</v>
      </c>
      <c r="N41" s="37" t="s">
        <v>1</v>
      </c>
      <c r="O41" s="29">
        <v>2838.9663108704276</v>
      </c>
      <c r="P41" s="30">
        <v>21.029329887188595</v>
      </c>
      <c r="Q41" s="38">
        <v>383.92759808735673</v>
      </c>
      <c r="R41" s="33">
        <v>55.663598273891907</v>
      </c>
    </row>
    <row r="42" spans="1:18" s="76" customFormat="1" ht="12.75" x14ac:dyDescent="0.2">
      <c r="A42" s="7" t="str">
        <f>VLOOKUP("&lt;Zeilentitel_28&gt;",Uebersetzungen!$B$3:$E$63,Uebersetzungen!$B$2+1,FALSE)</f>
        <v>Schwyz</v>
      </c>
      <c r="B42" s="115">
        <v>131851.00000000341</v>
      </c>
      <c r="C42" s="29">
        <v>13571.916292109288</v>
      </c>
      <c r="D42" s="30">
        <v>8.9973912212420952</v>
      </c>
      <c r="E42" s="31">
        <v>79126.878026259146</v>
      </c>
      <c r="F42" s="30">
        <v>2.4671530614691419</v>
      </c>
      <c r="G42" s="29">
        <v>5989.3120235727956</v>
      </c>
      <c r="H42" s="32">
        <v>14.873680530134484</v>
      </c>
      <c r="I42" s="34" t="s">
        <v>1</v>
      </c>
      <c r="J42" s="35" t="s">
        <v>1</v>
      </c>
      <c r="K42" s="31">
        <v>6413.4100693594992</v>
      </c>
      <c r="L42" s="30">
        <v>14.771684764901158</v>
      </c>
      <c r="M42" s="36">
        <v>1385.5528556920979</v>
      </c>
      <c r="N42" s="37">
        <v>30.583553868767801</v>
      </c>
      <c r="O42" s="29">
        <v>24158.839708952008</v>
      </c>
      <c r="P42" s="30">
        <v>6.5737885771259315</v>
      </c>
      <c r="Q42" s="34">
        <v>1060.9741725577721</v>
      </c>
      <c r="R42" s="40">
        <v>34.699095380550595</v>
      </c>
    </row>
    <row r="43" spans="1:18" s="76" customFormat="1" ht="12.75" x14ac:dyDescent="0.2">
      <c r="A43" s="7" t="str">
        <f>VLOOKUP("&lt;Zeilentitel_29&gt;",Uebersetzungen!$B$3:$E$63,Uebersetzungen!$B$2+1,FALSE)</f>
        <v>Obwalden</v>
      </c>
      <c r="B43" s="115">
        <v>31369.000000000393</v>
      </c>
      <c r="C43" s="29">
        <v>2159.271226940316</v>
      </c>
      <c r="D43" s="30">
        <v>23.102806748126159</v>
      </c>
      <c r="E43" s="31">
        <v>21710.173898256802</v>
      </c>
      <c r="F43" s="30">
        <v>4.179103811321907</v>
      </c>
      <c r="G43" s="34">
        <v>841.76219664729297</v>
      </c>
      <c r="H43" s="37">
        <v>41.019193339424739</v>
      </c>
      <c r="I43" s="38" t="s">
        <v>1</v>
      </c>
      <c r="J43" s="30" t="s">
        <v>1</v>
      </c>
      <c r="K43" s="39">
        <v>1017.2026536792893</v>
      </c>
      <c r="L43" s="35">
        <v>38.094340041069408</v>
      </c>
      <c r="M43" s="34">
        <v>292.60471397896407</v>
      </c>
      <c r="N43" s="37">
        <v>69.372008239804586</v>
      </c>
      <c r="O43" s="29">
        <v>5014.2658532105506</v>
      </c>
      <c r="P43" s="30">
        <v>14.692808511948156</v>
      </c>
      <c r="Q43" s="34">
        <v>302.3297089727767</v>
      </c>
      <c r="R43" s="40">
        <v>69.63687404594063</v>
      </c>
    </row>
    <row r="44" spans="1:18" s="76" customFormat="1" ht="12.75" x14ac:dyDescent="0.2">
      <c r="A44" s="7" t="str">
        <f>VLOOKUP("&lt;Zeilentitel_30&gt;",Uebersetzungen!$B$3:$E$63,Uebersetzungen!$B$2+1,FALSE)</f>
        <v>Nidwalden</v>
      </c>
      <c r="B44" s="115">
        <v>36497.000000000546</v>
      </c>
      <c r="C44" s="29">
        <v>3819.6849113746248</v>
      </c>
      <c r="D44" s="30">
        <v>16.924200878504308</v>
      </c>
      <c r="E44" s="31">
        <v>24188.373647011638</v>
      </c>
      <c r="F44" s="30">
        <v>4.1070344073086531</v>
      </c>
      <c r="G44" s="34">
        <v>1099.6195358913701</v>
      </c>
      <c r="H44" s="37">
        <v>34.542818469991282</v>
      </c>
      <c r="I44" s="38" t="s">
        <v>1</v>
      </c>
      <c r="J44" s="30" t="s">
        <v>1</v>
      </c>
      <c r="K44" s="41">
        <v>1164.194553062669</v>
      </c>
      <c r="L44" s="35">
        <v>36.05956605431939</v>
      </c>
      <c r="M44" s="38">
        <v>391.3874470357149</v>
      </c>
      <c r="N44" s="32">
        <v>58.545495233870042</v>
      </c>
      <c r="O44" s="29">
        <v>5478.86094750763</v>
      </c>
      <c r="P44" s="30">
        <v>13.945741290625156</v>
      </c>
      <c r="Q44" s="34">
        <v>282.56994928543531</v>
      </c>
      <c r="R44" s="40">
        <v>68.474307934167086</v>
      </c>
    </row>
    <row r="45" spans="1:18" s="76" customFormat="1" ht="12.75" x14ac:dyDescent="0.2">
      <c r="A45" s="7" t="str">
        <f>VLOOKUP("&lt;Zeilentitel_31&gt;",Uebersetzungen!$B$3:$E$63,Uebersetzungen!$B$2+1,FALSE)</f>
        <v>Zug</v>
      </c>
      <c r="B45" s="115">
        <v>104140.00000000164</v>
      </c>
      <c r="C45" s="29">
        <v>14271.042434210631</v>
      </c>
      <c r="D45" s="30">
        <v>6.09727972788043</v>
      </c>
      <c r="E45" s="31">
        <v>52373.500544568735</v>
      </c>
      <c r="F45" s="30">
        <v>2.4271743339599046</v>
      </c>
      <c r="G45" s="29">
        <v>5687.5944094584574</v>
      </c>
      <c r="H45" s="32">
        <v>10.546873130401481</v>
      </c>
      <c r="I45" s="34">
        <v>291.09247013866042</v>
      </c>
      <c r="J45" s="35">
        <v>48.177980437645445</v>
      </c>
      <c r="K45" s="31">
        <v>4600.3741446404993</v>
      </c>
      <c r="L45" s="30">
        <v>12.006821227312969</v>
      </c>
      <c r="M45" s="29">
        <v>1691.867668777591</v>
      </c>
      <c r="N45" s="32">
        <v>19.287231096050565</v>
      </c>
      <c r="O45" s="29">
        <v>24174.897443972059</v>
      </c>
      <c r="P45" s="30">
        <v>4.5290048226333681</v>
      </c>
      <c r="Q45" s="34">
        <v>1049.630884235022</v>
      </c>
      <c r="R45" s="40">
        <v>24.135728733789932</v>
      </c>
    </row>
    <row r="46" spans="1:18" s="76" customFormat="1" ht="13.5" thickBot="1" x14ac:dyDescent="0.25">
      <c r="A46" s="129" t="str">
        <f>VLOOKUP("&lt;Zeilentitel_32&gt;",Uebersetzungen!$B$3:$E$63,Uebersetzungen!$B$2+1,FALSE)</f>
        <v>Tessin</v>
      </c>
      <c r="B46" s="130">
        <v>300857.99999999756</v>
      </c>
      <c r="C46" s="131">
        <v>11938.505102866971</v>
      </c>
      <c r="D46" s="132">
        <v>6.7911664806616603</v>
      </c>
      <c r="E46" s="133">
        <v>196375.62343842263</v>
      </c>
      <c r="F46" s="132">
        <v>1.0177713996376598</v>
      </c>
      <c r="G46" s="131">
        <v>16946.973338728811</v>
      </c>
      <c r="H46" s="134">
        <v>5.8516038716895249</v>
      </c>
      <c r="I46" s="135">
        <v>577.09528587150658</v>
      </c>
      <c r="J46" s="136">
        <v>32.785764481626181</v>
      </c>
      <c r="K46" s="133">
        <v>6295.582472398436</v>
      </c>
      <c r="L46" s="132">
        <v>10.129029226754882</v>
      </c>
      <c r="M46" s="131">
        <v>2285.4465074446048</v>
      </c>
      <c r="N46" s="134">
        <v>16.331057832318837</v>
      </c>
      <c r="O46" s="131">
        <v>60613.038128088003</v>
      </c>
      <c r="P46" s="132">
        <v>2.8376017561555038</v>
      </c>
      <c r="Q46" s="131">
        <v>5825.7357261766228</v>
      </c>
      <c r="R46" s="137">
        <v>9.9154280224493387</v>
      </c>
    </row>
    <row r="47" spans="1:18" s="76" customFormat="1" ht="12.75" x14ac:dyDescent="0.2">
      <c r="A47" s="8"/>
      <c r="B47" s="5"/>
      <c r="C47" s="9"/>
      <c r="D47" s="10"/>
      <c r="E47" s="10"/>
      <c r="F47" s="10"/>
      <c r="G47" s="11"/>
      <c r="H47" s="12"/>
      <c r="I47" s="11"/>
      <c r="J47" s="12"/>
      <c r="K47" s="11"/>
      <c r="L47" s="12"/>
      <c r="M47" s="11"/>
      <c r="N47" s="12"/>
      <c r="O47" s="11"/>
      <c r="P47" s="12"/>
      <c r="Q47" s="11"/>
      <c r="R47" s="12"/>
    </row>
    <row r="48" spans="1:18" s="76" customFormat="1" ht="12.75" x14ac:dyDescent="0.2">
      <c r="A48" s="16" t="str">
        <f>VLOOKUP("&lt;Legende_1&gt;",Uebersetzungen!$B$3:$E$63,Uebersetzungen!$B$2+1,FALSE)</f>
        <v xml:space="preserve">Ab 2010 stammen die Daten aus einer Stichprobenerhebung der ständigen Wohnbevölkerung ab vollendetem 15. Altersjahr, die in Privathaushalten lebt. </v>
      </c>
      <c r="B48" s="5"/>
      <c r="C48" s="9"/>
      <c r="D48" s="10"/>
      <c r="E48" s="10"/>
      <c r="F48" s="10"/>
      <c r="G48" s="11"/>
      <c r="H48" s="12"/>
      <c r="I48" s="11"/>
      <c r="J48" s="12"/>
      <c r="K48" s="11"/>
      <c r="L48" s="12"/>
      <c r="M48" s="11"/>
      <c r="N48" s="12"/>
      <c r="O48" s="11"/>
      <c r="P48" s="12"/>
      <c r="Q48" s="11"/>
      <c r="R48" s="12"/>
    </row>
    <row r="49" spans="1:18" s="76" customFormat="1" ht="12.75" x14ac:dyDescent="0.2">
      <c r="A49" s="16" t="str">
        <f>VLOOKUP("&lt;Legende_2&gt;",Uebersetzungen!$B$3:$E$63,Uebersetzungen!$B$2+1,FALSE)</f>
        <v>Nicht befragt wurden Diplomaten, internationale Funktionäre und deren Familienangehörige. Diese Daten sind mit jenen der frühreren Jahre nicht direkt vergleichbar.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s="76" customFormat="1" ht="12.75" x14ac:dyDescent="0.2">
      <c r="A50" s="16" t="str">
        <f>VLOOKUP("&lt;Legende_3&gt;",Uebersetzungen!$B$3:$E$63,Uebersetzungen!$B$2+1,FALSE)</f>
        <v>Das Vertrauensintervall zeigt die Genauigkeit der Resultate einer Stichprobenerhebung.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1:18" s="76" customFormat="1" ht="12.75" x14ac:dyDescent="0.2">
      <c r="A51" s="16" t="str">
        <f>VLOOKUP("&lt;Legende_4&gt;",Uebersetzungen!$B$3:$E$63,Uebersetzungen!$B$2+1,FALSE)</f>
        <v>(): Extrapolation aufgrund von 49 oder weniger Beobachtungen. Die Resultate sind mit grosser Vorsicht zu interpretieren.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s="76" customFormat="1" ht="12.75" x14ac:dyDescent="0.2">
      <c r="A52" s="13" t="str">
        <f>VLOOKUP("&lt;Legende_5&gt;",Uebersetzungen!$B$3:$E$63,Uebersetzungen!$B$2+1,FALSE)</f>
        <v>X: Extrapolation aufgrund von 4 oder weniger Beobachtungen. Die Resultate werden aus Gründen des Datenschutzes nicht publiziert.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s="76" customFormat="1" ht="12.75" x14ac:dyDescent="0.2">
      <c r="A53" s="13" t="str">
        <f>VLOOKUP("&lt;Legende_6&gt;",Uebersetzungen!$B$3:$E$63,Uebersetzungen!$B$2+1,FALSE)</f>
        <v>* inkl. andere aus dem Islam hervorgegangene Gemeinschaften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 s="76" customFormat="1" ht="12.75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18" s="76" customFormat="1" ht="12.75" x14ac:dyDescent="0.2">
      <c r="A55" s="16" t="str">
        <f>VLOOKUP("&lt;quelle_1&gt;",Uebersetzungen!$B$3:$E$63,Uebersetzungen!$B$2+1,FALSE)</f>
        <v>Quelle: BFS (Strukturerhebung)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8" s="76" customFormat="1" ht="12.75" x14ac:dyDescent="0.2">
      <c r="A56" s="13" t="str">
        <f>VLOOKUP("&lt;aktualisierung&gt;",Uebersetzungen!$B$3:$E$213,Uebersetzungen!$B$2+1,FALSE)</f>
        <v>Letztmals aktualisiert am: 29.01.2026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</sheetData>
  <sheetProtection sheet="1" objects="1" scenarios="1"/>
  <mergeCells count="11">
    <mergeCell ref="Q13:R13"/>
    <mergeCell ref="A7:D7"/>
    <mergeCell ref="B12:R12"/>
    <mergeCell ref="B13:B14"/>
    <mergeCell ref="C13:D13"/>
    <mergeCell ref="E13:F13"/>
    <mergeCell ref="G13:H13"/>
    <mergeCell ref="I13:J13"/>
    <mergeCell ref="K13:L13"/>
    <mergeCell ref="M13:N13"/>
    <mergeCell ref="O13:P13"/>
  </mergeCells>
  <pageMargins left="0.7" right="0.7" top="0.75" bottom="0.75" header="0.3" footer="0.3"/>
  <pageSetup paperSize="9" orientation="portrait" r:id="rId1"/>
  <ignoredErrors>
    <ignoredError sqref="D14 F14 H14 J14 L14 N14 P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Option Button 1">
              <controlPr defaultSize="0" autoFill="0" autoLine="0" autoPict="0">
                <anchor moveWithCells="1">
                  <from>
                    <xdr:col>6</xdr:col>
                    <xdr:colOff>295275</xdr:colOff>
                    <xdr:row>1</xdr:row>
                    <xdr:rowOff>114300</xdr:rowOff>
                  </from>
                  <to>
                    <xdr:col>7</xdr:col>
                    <xdr:colOff>695325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Option Button 2">
              <controlPr defaultSize="0" autoFill="0" autoLine="0" autoPict="0">
                <anchor moveWithCells="1">
                  <from>
                    <xdr:col>6</xdr:col>
                    <xdr:colOff>295275</xdr:colOff>
                    <xdr:row>2</xdr:row>
                    <xdr:rowOff>104775</xdr:rowOff>
                  </from>
                  <to>
                    <xdr:col>8</xdr:col>
                    <xdr:colOff>276225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Option Button 3">
              <controlPr defaultSize="0" autoFill="0" autoLine="0" autoPict="0">
                <anchor moveWithCells="1">
                  <from>
                    <xdr:col>6</xdr:col>
                    <xdr:colOff>295275</xdr:colOff>
                    <xdr:row>3</xdr:row>
                    <xdr:rowOff>66675</xdr:rowOff>
                  </from>
                  <to>
                    <xdr:col>7</xdr:col>
                    <xdr:colOff>695325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56"/>
  <sheetViews>
    <sheetView showGridLines="0" workbookViewId="0"/>
  </sheetViews>
  <sheetFormatPr baseColWidth="10" defaultColWidth="9.140625" defaultRowHeight="14.25" x14ac:dyDescent="0.2"/>
  <cols>
    <col min="1" max="1" width="22.7109375" style="53" customWidth="1"/>
    <col min="2" max="2" width="9.140625" style="53" customWidth="1"/>
    <col min="3" max="18" width="12.42578125" style="53" customWidth="1"/>
    <col min="19" max="16384" width="9.140625" style="77"/>
  </cols>
  <sheetData>
    <row r="1" spans="1:18" s="75" customFormat="1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75" customFormat="1" ht="15.75" x14ac:dyDescent="0.25">
      <c r="A2" s="1"/>
      <c r="B2" s="15"/>
      <c r="C2" s="53"/>
      <c r="D2" s="5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75" customFormat="1" ht="15.75" x14ac:dyDescent="0.25">
      <c r="A3" s="1"/>
      <c r="B3" s="15"/>
      <c r="C3" s="53"/>
      <c r="D3" s="5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s="75" customFormat="1" ht="15.75" x14ac:dyDescent="0.25">
      <c r="A4" s="1"/>
      <c r="B4" s="15"/>
      <c r="C4" s="53"/>
      <c r="D4" s="5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75" customFormat="1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s="75" customFormat="1" ht="12.7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s="75" customFormat="1" ht="15.75" customHeight="1" x14ac:dyDescent="0.2">
      <c r="A7" s="146" t="str">
        <f>VLOOKUP("&lt;Fachbereich&gt;",Uebersetzungen!$B$3:$E$63,Uebersetzungen!$B$2+1,FALSE)</f>
        <v>Daten &amp; Statistik</v>
      </c>
      <c r="B7" s="146"/>
      <c r="C7" s="146"/>
      <c r="D7" s="146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</row>
    <row r="8" spans="1:18" s="75" customFormat="1" ht="12.7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s="76" customFormat="1" ht="18" x14ac:dyDescent="0.2">
      <c r="A9" s="19" t="str">
        <f>VLOOKUP("&lt;Titel&gt;",Uebersetzungen!$B$3:$E$63,Uebersetzungen!$B$2+1,FALSE)</f>
        <v>Religionszugehörigkeit nach Kanton</v>
      </c>
      <c r="B9" s="54"/>
      <c r="C9" s="55"/>
      <c r="D9" s="55"/>
      <c r="E9" s="55"/>
      <c r="F9" s="55"/>
      <c r="G9" s="55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s="76" customFormat="1" ht="12.75" x14ac:dyDescent="0.2">
      <c r="A10" s="20" t="str">
        <f>VLOOKUP("&lt;UTitel&gt;",Uebersetzungen!$B$3:$E$63,Uebersetzungen!$B$2+1,FALSE)</f>
        <v>Ständige Wohnbevölkerung ab 15 Jahren</v>
      </c>
      <c r="B10" s="54"/>
      <c r="C10" s="55"/>
      <c r="D10" s="55"/>
      <c r="E10" s="55"/>
      <c r="F10" s="55"/>
      <c r="G10" s="5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8.75" thickBot="1" x14ac:dyDescent="0.3">
      <c r="B11" s="17"/>
      <c r="C11" s="18"/>
      <c r="D11" s="4"/>
      <c r="E11" s="4"/>
      <c r="F11" s="4"/>
      <c r="G11" s="4"/>
      <c r="H11" s="4"/>
      <c r="I11" s="4"/>
      <c r="J11" s="4"/>
    </row>
    <row r="12" spans="1:18" s="78" customFormat="1" ht="18" x14ac:dyDescent="0.25">
      <c r="A12" s="3"/>
      <c r="B12" s="158">
        <v>2016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60"/>
    </row>
    <row r="13" spans="1:18" s="78" customFormat="1" ht="37.5" customHeight="1" x14ac:dyDescent="0.25">
      <c r="A13" s="3"/>
      <c r="B13" s="157" t="str">
        <f>VLOOKUP("&lt;SpaltenTitel_1&gt;",Uebersetzungen!$B$3:$E$63,Uebersetzungen!$B$2+1,FALSE)</f>
        <v>Total</v>
      </c>
      <c r="C13" s="152" t="str">
        <f>VLOOKUP("&lt;SpaltenTitel_2&gt;",Uebersetzungen!$B$3:$E$63,Uebersetzungen!$B$2+1,FALSE)</f>
        <v>Evangelisch-reformiert</v>
      </c>
      <c r="D13" s="152"/>
      <c r="E13" s="152" t="str">
        <f>VLOOKUP("&lt;SpaltenTitel_3&gt;",Uebersetzungen!$B$3:$E$63,Uebersetzungen!$B$2+1,FALSE)</f>
        <v>Römisch-katholisch</v>
      </c>
      <c r="F13" s="152"/>
      <c r="G13" s="152" t="str">
        <f>VLOOKUP("&lt;SpaltenTitel_4&gt;",Uebersetzungen!$B$3:$E$63,Uebersetzungen!$B$2+1,FALSE)</f>
        <v>Andere christliche Glaubensgemeinschaften</v>
      </c>
      <c r="H13" s="152"/>
      <c r="I13" s="152" t="str">
        <f>VLOOKUP("&lt;SpaltenTitel_5&gt;",Uebersetzungen!$B$3:$E$63,Uebersetzungen!$B$2+1,FALSE)</f>
        <v>Jüdische Glaubensgemeinschaften</v>
      </c>
      <c r="J13" s="152"/>
      <c r="K13" s="152" t="str">
        <f>VLOOKUP("&lt;SpaltenTitel_6&gt;",Uebersetzungen!$B$3:$E$63,Uebersetzungen!$B$2+1,FALSE)</f>
        <v>Islamische Glaubensgem.*</v>
      </c>
      <c r="L13" s="152"/>
      <c r="M13" s="152" t="str">
        <f>VLOOKUP("&lt;SpaltenTitel_7&gt;",Uebersetzungen!$B$3:$E$63,Uebersetzungen!$B$2+1,FALSE)</f>
        <v>Andere Religionsgemeinschaften</v>
      </c>
      <c r="N13" s="152"/>
      <c r="O13" s="152" t="str">
        <f>VLOOKUP("&lt;SpaltenTitel_8&gt;",Uebersetzungen!$B$3:$E$63,Uebersetzungen!$B$2+1,FALSE)</f>
        <v>Ohne Religionszugehörigkeit</v>
      </c>
      <c r="P13" s="152"/>
      <c r="Q13" s="152" t="str">
        <f>VLOOKUP("&lt;SpaltenTitel_9&gt;",Uebersetzungen!$B$3:$E$63,Uebersetzungen!$B$2+1,FALSE)</f>
        <v>Religionszugehörigkeit unbekannt</v>
      </c>
      <c r="R13" s="153"/>
    </row>
    <row r="14" spans="1:18" s="78" customFormat="1" ht="39" thickBot="1" x14ac:dyDescent="0.3">
      <c r="A14" s="6"/>
      <c r="B14" s="151"/>
      <c r="C14" s="112" t="str">
        <f>VLOOKUP("&lt;SpaltenTitel_2.1&gt;",Uebersetzungen!$B$3:$E$63,Uebersetzungen!$B$2+1,FALSE)</f>
        <v>Anzahl Personen</v>
      </c>
      <c r="D14" s="112" t="str">
        <f>VLOOKUP("&lt;SpaltenTitel_2.2&gt;",Uebersetzungen!$B$3:$E$63,Uebersetzungen!$B$2+1,FALSE)</f>
        <v>Vertrauens- intervall:          ± (in %)</v>
      </c>
      <c r="E14" s="112" t="str">
        <f>VLOOKUP("&lt;SpaltenTitel_2.1&gt;",Uebersetzungen!$B$3:$E$63,Uebersetzungen!$B$2+1,FALSE)</f>
        <v>Anzahl Personen</v>
      </c>
      <c r="F14" s="112" t="str">
        <f>VLOOKUP("&lt;SpaltenTitel_2.2&gt;",Uebersetzungen!$B$3:$E$63,Uebersetzungen!$B$2+1,FALSE)</f>
        <v>Vertrauens- intervall:          ± (in %)</v>
      </c>
      <c r="G14" s="112" t="str">
        <f>VLOOKUP("&lt;SpaltenTitel_2.1&gt;",Uebersetzungen!$B$3:$E$63,Uebersetzungen!$B$2+1,FALSE)</f>
        <v>Anzahl Personen</v>
      </c>
      <c r="H14" s="112" t="str">
        <f>VLOOKUP("&lt;SpaltenTitel_2.2&gt;",Uebersetzungen!$B$3:$E$63,Uebersetzungen!$B$2+1,FALSE)</f>
        <v>Vertrauens- intervall:          ± (in %)</v>
      </c>
      <c r="I14" s="112" t="str">
        <f>VLOOKUP("&lt;SpaltenTitel_2.1&gt;",Uebersetzungen!$B$3:$E$63,Uebersetzungen!$B$2+1,FALSE)</f>
        <v>Anzahl Personen</v>
      </c>
      <c r="J14" s="112" t="str">
        <f>VLOOKUP("&lt;SpaltenTitel_2.2&gt;",Uebersetzungen!$B$3:$E$63,Uebersetzungen!$B$2+1,FALSE)</f>
        <v>Vertrauens- intervall:          ± (in %)</v>
      </c>
      <c r="K14" s="112" t="str">
        <f>VLOOKUP("&lt;SpaltenTitel_2.1&gt;",Uebersetzungen!$B$3:$E$63,Uebersetzungen!$B$2+1,FALSE)</f>
        <v>Anzahl Personen</v>
      </c>
      <c r="L14" s="112" t="str">
        <f>VLOOKUP("&lt;SpaltenTitel_2.2&gt;",Uebersetzungen!$B$3:$E$63,Uebersetzungen!$B$2+1,FALSE)</f>
        <v>Vertrauens- intervall:          ± (in %)</v>
      </c>
      <c r="M14" s="112" t="str">
        <f>VLOOKUP("&lt;SpaltenTitel_2.1&gt;",Uebersetzungen!$B$3:$E$63,Uebersetzungen!$B$2+1,FALSE)</f>
        <v>Anzahl Personen</v>
      </c>
      <c r="N14" s="112" t="str">
        <f>VLOOKUP("&lt;SpaltenTitel_2.2&gt;",Uebersetzungen!$B$3:$E$63,Uebersetzungen!$B$2+1,FALSE)</f>
        <v>Vertrauens- intervall:          ± (in %)</v>
      </c>
      <c r="O14" s="112" t="str">
        <f>VLOOKUP("&lt;SpaltenTitel_2.1&gt;",Uebersetzungen!$B$3:$E$63,Uebersetzungen!$B$2+1,FALSE)</f>
        <v>Anzahl Personen</v>
      </c>
      <c r="P14" s="112" t="str">
        <f>VLOOKUP("&lt;SpaltenTitel_2.2&gt;",Uebersetzungen!$B$3:$E$63,Uebersetzungen!$B$2+1,FALSE)</f>
        <v>Vertrauens- intervall:          ± (in %)</v>
      </c>
      <c r="Q14" s="112" t="str">
        <f>VLOOKUP("&lt;SpaltenTitel_2.1&gt;",Uebersetzungen!$B$3:$E$63,Uebersetzungen!$B$2+1,FALSE)</f>
        <v>Anzahl Personen</v>
      </c>
      <c r="R14" s="113" t="str">
        <f>VLOOKUP("&lt;SpaltenTitel_2.2&gt;",Uebersetzungen!$B$3:$E$63,Uebersetzungen!$B$2+1,FALSE)</f>
        <v>Vertrauens- intervall:          ± (in %)</v>
      </c>
    </row>
    <row r="15" spans="1:18" s="76" customFormat="1" ht="12.75" x14ac:dyDescent="0.2">
      <c r="A15" s="14" t="str">
        <f>VLOOKUP("&lt;Zeilentitel_1&gt;",Uebersetzungen!$B$3:$E$63,Uebersetzungen!$B$2+1,FALSE)</f>
        <v>Total</v>
      </c>
      <c r="B15" s="28">
        <v>6981380.9999999302</v>
      </c>
      <c r="C15" s="108">
        <v>1713116.72818507</v>
      </c>
      <c r="D15" s="119">
        <v>0.64308648119363099</v>
      </c>
      <c r="E15" s="120">
        <v>2550646.5747465999</v>
      </c>
      <c r="F15" s="119">
        <v>0.47589727506256901</v>
      </c>
      <c r="G15" s="109">
        <v>410164.71618767601</v>
      </c>
      <c r="H15" s="121">
        <v>1.58081384610458</v>
      </c>
      <c r="I15" s="109">
        <v>17731.656500756701</v>
      </c>
      <c r="J15" s="119">
        <v>7.1521905098769398</v>
      </c>
      <c r="K15" s="110">
        <v>362973.41586231301</v>
      </c>
      <c r="L15" s="119">
        <v>1.7974034653696001</v>
      </c>
      <c r="M15" s="109">
        <v>96354.392855077604</v>
      </c>
      <c r="N15" s="121">
        <v>3.3621282487292299</v>
      </c>
      <c r="O15" s="108">
        <v>1740916.5161851901</v>
      </c>
      <c r="P15" s="119">
        <v>0.66213465723215303</v>
      </c>
      <c r="Q15" s="109">
        <v>89476.999477242687</v>
      </c>
      <c r="R15" s="122">
        <v>3.2887360141519943</v>
      </c>
    </row>
    <row r="16" spans="1:18" s="76" customFormat="1" ht="12.75" x14ac:dyDescent="0.2">
      <c r="A16" s="56" t="str">
        <f>VLOOKUP("&lt;Zeilentitel_2&gt;",Uebersetzungen!$B$3:$E$63,Uebersetzungen!$B$2+1,FALSE)</f>
        <v>Genferseeregion</v>
      </c>
      <c r="B16" s="114">
        <v>1300334.99999998</v>
      </c>
      <c r="C16" s="57">
        <v>201811.228105616</v>
      </c>
      <c r="D16" s="58">
        <v>1.6217983165807399</v>
      </c>
      <c r="E16" s="59">
        <v>519023.57422616199</v>
      </c>
      <c r="F16" s="58">
        <v>0.89465520098801898</v>
      </c>
      <c r="G16" s="57">
        <v>73339.440427616195</v>
      </c>
      <c r="H16" s="60">
        <v>3.12915654736585</v>
      </c>
      <c r="I16" s="57">
        <v>6297.0678752507201</v>
      </c>
      <c r="J16" s="58">
        <v>10.672481920449499</v>
      </c>
      <c r="K16" s="59">
        <v>62579.491703658299</v>
      </c>
      <c r="L16" s="58">
        <v>3.57614109720198</v>
      </c>
      <c r="M16" s="57">
        <v>17393.823334489301</v>
      </c>
      <c r="N16" s="60">
        <v>6.5182598053346501</v>
      </c>
      <c r="O16" s="57">
        <v>389832.20822805801</v>
      </c>
      <c r="P16" s="58">
        <v>1.1385165663143799</v>
      </c>
      <c r="Q16" s="57">
        <v>30058.16609912787</v>
      </c>
      <c r="R16" s="61">
        <v>4.9976897862639094</v>
      </c>
    </row>
    <row r="17" spans="1:18" s="76" customFormat="1" ht="12.75" x14ac:dyDescent="0.2">
      <c r="A17" s="7" t="str">
        <f>VLOOKUP("&lt;Zeilentitel_3&gt;",Uebersetzungen!$B$3:$E$63,Uebersetzungen!$B$2+1,FALSE)</f>
        <v>Waadt</v>
      </c>
      <c r="B17" s="115">
        <v>640605.99999998498</v>
      </c>
      <c r="C17" s="29">
        <v>150595.76216942401</v>
      </c>
      <c r="D17" s="30">
        <v>1.72649259287624</v>
      </c>
      <c r="E17" s="31">
        <v>192594.39234306899</v>
      </c>
      <c r="F17" s="30">
        <v>1.50702740628862</v>
      </c>
      <c r="G17" s="29">
        <v>42402.778337897798</v>
      </c>
      <c r="H17" s="32">
        <v>3.7680435283562002</v>
      </c>
      <c r="I17" s="29">
        <v>1815.3054661562401</v>
      </c>
      <c r="J17" s="30">
        <v>18.640135963848799</v>
      </c>
      <c r="K17" s="31">
        <v>31863.6594610467</v>
      </c>
      <c r="L17" s="30">
        <v>4.5455543783096104</v>
      </c>
      <c r="M17" s="29">
        <v>9529.0004595660394</v>
      </c>
      <c r="N17" s="32">
        <v>8.1886524889827506</v>
      </c>
      <c r="O17" s="29">
        <v>198852.07086324101</v>
      </c>
      <c r="P17" s="30">
        <v>1.4878091174603501</v>
      </c>
      <c r="Q17" s="29">
        <v>12953.030899588468</v>
      </c>
      <c r="R17" s="33">
        <v>6.8616629413003736</v>
      </c>
    </row>
    <row r="18" spans="1:18" s="76" customFormat="1" ht="12.75" x14ac:dyDescent="0.2">
      <c r="A18" s="7" t="str">
        <f>VLOOKUP("&lt;Zeilentitel_4&gt;",Uebersetzungen!$B$3:$E$63,Uebersetzungen!$B$2+1,FALSE)</f>
        <v>Wallis</v>
      </c>
      <c r="B18" s="115">
        <v>283008.99999999302</v>
      </c>
      <c r="C18" s="29">
        <v>16529.799975442002</v>
      </c>
      <c r="D18" s="30">
        <v>8.3378843538000407</v>
      </c>
      <c r="E18" s="31">
        <v>201097.20234194599</v>
      </c>
      <c r="F18" s="30">
        <v>1.3462137580176201</v>
      </c>
      <c r="G18" s="29">
        <v>9016.4019869878903</v>
      </c>
      <c r="H18" s="32">
        <v>12.0587970361938</v>
      </c>
      <c r="I18" s="34">
        <v>491.57600344790399</v>
      </c>
      <c r="J18" s="35">
        <v>52.054271339941302</v>
      </c>
      <c r="K18" s="31">
        <v>9164.5472694004493</v>
      </c>
      <c r="L18" s="30">
        <v>12.5495401977368</v>
      </c>
      <c r="M18" s="36">
        <v>1856.2973723666801</v>
      </c>
      <c r="N18" s="37">
        <v>26.420380468619001</v>
      </c>
      <c r="O18" s="29">
        <v>39286.471767380499</v>
      </c>
      <c r="P18" s="30">
        <v>5.3585873887796298</v>
      </c>
      <c r="Q18" s="29">
        <v>5566.7032830199923</v>
      </c>
      <c r="R18" s="33">
        <v>14.955115674758472</v>
      </c>
    </row>
    <row r="19" spans="1:18" s="76" customFormat="1" ht="12.75" x14ac:dyDescent="0.2">
      <c r="A19" s="7" t="str">
        <f>VLOOKUP("&lt;Zeilentitel_5&gt;",Uebersetzungen!$B$3:$E$63,Uebersetzungen!$B$2+1,FALSE)</f>
        <v>Genf</v>
      </c>
      <c r="B19" s="115">
        <v>376719.99999999901</v>
      </c>
      <c r="C19" s="29">
        <v>34685.665960750099</v>
      </c>
      <c r="D19" s="30">
        <v>4.1305738156345404</v>
      </c>
      <c r="E19" s="31">
        <v>125331.979541147</v>
      </c>
      <c r="F19" s="30">
        <v>1.9229902659846501</v>
      </c>
      <c r="G19" s="29">
        <v>21920.260102730499</v>
      </c>
      <c r="H19" s="32">
        <v>5.6458495093590999</v>
      </c>
      <c r="I19" s="29">
        <v>3990.1864056465702</v>
      </c>
      <c r="J19" s="30">
        <v>13.0627834059145</v>
      </c>
      <c r="K19" s="31">
        <v>21551.284973211201</v>
      </c>
      <c r="L19" s="30">
        <v>5.8468516950552702</v>
      </c>
      <c r="M19" s="29">
        <v>6008.5255025565402</v>
      </c>
      <c r="N19" s="32">
        <v>10.9900597706801</v>
      </c>
      <c r="O19" s="29">
        <v>151693.66559743701</v>
      </c>
      <c r="P19" s="30">
        <v>1.6824695734555699</v>
      </c>
      <c r="Q19" s="29">
        <v>11538.431916519408</v>
      </c>
      <c r="R19" s="33">
        <v>7.6228702798301384</v>
      </c>
    </row>
    <row r="20" spans="1:18" s="76" customFormat="1" ht="12.75" x14ac:dyDescent="0.2">
      <c r="A20" s="56" t="str">
        <f>VLOOKUP("&lt;Zeilentitel_6&gt;",Uebersetzungen!$B$3:$E$63,Uebersetzungen!$B$2+1,FALSE)</f>
        <v>Espace Mittelland</v>
      </c>
      <c r="B20" s="114">
        <v>1548739.99999998</v>
      </c>
      <c r="C20" s="57">
        <v>557260.00768558797</v>
      </c>
      <c r="D20" s="58">
        <v>1.0480714235501201</v>
      </c>
      <c r="E20" s="59">
        <v>437036.10448574298</v>
      </c>
      <c r="F20" s="58">
        <v>1.2728745481499599</v>
      </c>
      <c r="G20" s="57">
        <v>89695.091960174395</v>
      </c>
      <c r="H20" s="60">
        <v>3.5745106025919502</v>
      </c>
      <c r="I20" s="62">
        <v>1423.2648907796599</v>
      </c>
      <c r="J20" s="63">
        <v>28.626248786310299</v>
      </c>
      <c r="K20" s="59">
        <v>66713.9036840599</v>
      </c>
      <c r="L20" s="58">
        <v>4.4026858062419398</v>
      </c>
      <c r="M20" s="57">
        <v>21226.383025109699</v>
      </c>
      <c r="N20" s="60">
        <v>7.6763337929036597</v>
      </c>
      <c r="O20" s="57">
        <v>355595.60695442901</v>
      </c>
      <c r="P20" s="58">
        <v>1.55616378323216</v>
      </c>
      <c r="Q20" s="57">
        <v>19789.637314097588</v>
      </c>
      <c r="R20" s="61">
        <v>7.5217107046161553</v>
      </c>
    </row>
    <row r="21" spans="1:18" s="76" customFormat="1" ht="12.75" x14ac:dyDescent="0.2">
      <c r="A21" s="7" t="str">
        <f>VLOOKUP("&lt;Zeilentitel_7&gt;",Uebersetzungen!$B$3:$E$63,Uebersetzungen!$B$2+1,FALSE)</f>
        <v>Bern</v>
      </c>
      <c r="B21" s="115">
        <v>859533.99999997905</v>
      </c>
      <c r="C21" s="29">
        <v>442530.60509549303</v>
      </c>
      <c r="D21" s="30">
        <v>1.10980352490699</v>
      </c>
      <c r="E21" s="31">
        <v>132976.43083421901</v>
      </c>
      <c r="F21" s="30">
        <v>2.7780410353615199</v>
      </c>
      <c r="G21" s="29">
        <v>57509.879421974198</v>
      </c>
      <c r="H21" s="32">
        <v>4.4799032046521701</v>
      </c>
      <c r="I21" s="34">
        <v>860.94119507340599</v>
      </c>
      <c r="J21" s="35">
        <v>36.575004374880798</v>
      </c>
      <c r="K21" s="31">
        <v>33694.082100523599</v>
      </c>
      <c r="L21" s="30">
        <v>6.1310295869904898</v>
      </c>
      <c r="M21" s="29">
        <v>13556.912802266899</v>
      </c>
      <c r="N21" s="32">
        <v>9.6650447173285201</v>
      </c>
      <c r="O21" s="29">
        <v>168953.15633999801</v>
      </c>
      <c r="P21" s="30">
        <v>2.3948760096706301</v>
      </c>
      <c r="Q21" s="29">
        <v>9451.9922104291836</v>
      </c>
      <c r="R21" s="33">
        <v>11.241565797843684</v>
      </c>
    </row>
    <row r="22" spans="1:18" s="76" customFormat="1" ht="12.75" x14ac:dyDescent="0.2">
      <c r="A22" s="7" t="str">
        <f>VLOOKUP("&lt;Zeilentitel_8&gt;",Uebersetzungen!$B$3:$E$63,Uebersetzungen!$B$2+1,FALSE)</f>
        <v>Freiburg</v>
      </c>
      <c r="B22" s="115">
        <v>253558.000000003</v>
      </c>
      <c r="C22" s="29">
        <v>31475.678781088202</v>
      </c>
      <c r="D22" s="30">
        <v>5.8334178054144896</v>
      </c>
      <c r="E22" s="31">
        <v>154037.69066588499</v>
      </c>
      <c r="F22" s="30">
        <v>1.7888331632729899</v>
      </c>
      <c r="G22" s="29">
        <v>8840.3526561082199</v>
      </c>
      <c r="H22" s="32">
        <v>11.9885126752511</v>
      </c>
      <c r="I22" s="34">
        <v>185.504215628286</v>
      </c>
      <c r="J22" s="35">
        <v>88.791348224481197</v>
      </c>
      <c r="K22" s="31">
        <v>9900.7964431542696</v>
      </c>
      <c r="L22" s="30">
        <v>11.5888192912363</v>
      </c>
      <c r="M22" s="29">
        <v>1964.09274870016</v>
      </c>
      <c r="N22" s="32">
        <v>25.932959217475801</v>
      </c>
      <c r="O22" s="29">
        <v>42616.413113732102</v>
      </c>
      <c r="P22" s="30">
        <v>5.0012711481332701</v>
      </c>
      <c r="Q22" s="29">
        <v>4537.4713757061554</v>
      </c>
      <c r="R22" s="33">
        <v>16.520259417643956</v>
      </c>
    </row>
    <row r="23" spans="1:18" s="76" customFormat="1" ht="12.75" x14ac:dyDescent="0.2">
      <c r="A23" s="7" t="str">
        <f>VLOOKUP("&lt;Zeilentitel_9&gt;",Uebersetzungen!$B$3:$E$63,Uebersetzungen!$B$2+1,FALSE)</f>
        <v>Solothurn</v>
      </c>
      <c r="B23" s="115">
        <v>227461.00000000099</v>
      </c>
      <c r="C23" s="29">
        <v>47383.923349735604</v>
      </c>
      <c r="D23" s="30">
        <v>4.5272463135220198</v>
      </c>
      <c r="E23" s="31">
        <v>76568.035530048393</v>
      </c>
      <c r="F23" s="30">
        <v>3.3169865705822699</v>
      </c>
      <c r="G23" s="29">
        <v>12961.6348995649</v>
      </c>
      <c r="H23" s="32">
        <v>10.180312395796101</v>
      </c>
      <c r="I23" s="38" t="s">
        <v>1</v>
      </c>
      <c r="J23" s="30" t="s">
        <v>1</v>
      </c>
      <c r="K23" s="31">
        <v>15599.3058398824</v>
      </c>
      <c r="L23" s="30">
        <v>9.9680939061082192</v>
      </c>
      <c r="M23" s="29">
        <v>3576.1576040878199</v>
      </c>
      <c r="N23" s="32">
        <v>19.857868793718101</v>
      </c>
      <c r="O23" s="29">
        <v>69771.327424785399</v>
      </c>
      <c r="P23" s="30">
        <v>3.60669846512614</v>
      </c>
      <c r="Q23" s="29">
        <v>1453.2099265605304</v>
      </c>
      <c r="R23" s="33">
        <v>30.424662139771979</v>
      </c>
    </row>
    <row r="24" spans="1:18" s="76" customFormat="1" ht="12.75" x14ac:dyDescent="0.2">
      <c r="A24" s="7" t="str">
        <f>VLOOKUP("&lt;Zeilentitel_10&gt;",Uebersetzungen!$B$3:$E$63,Uebersetzungen!$B$2+1,FALSE)</f>
        <v>Neuenburg</v>
      </c>
      <c r="B24" s="115">
        <v>147433.00000000099</v>
      </c>
      <c r="C24" s="29">
        <v>30809.657221470901</v>
      </c>
      <c r="D24" s="30">
        <v>3.89178222753918</v>
      </c>
      <c r="E24" s="31">
        <v>31641.1971831066</v>
      </c>
      <c r="F24" s="30">
        <v>3.9550502611590499</v>
      </c>
      <c r="G24" s="29">
        <v>8103.4001088181403</v>
      </c>
      <c r="H24" s="32">
        <v>8.6400340704659602</v>
      </c>
      <c r="I24" s="34">
        <v>193.58451725097299</v>
      </c>
      <c r="J24" s="35">
        <v>60.869591359438502</v>
      </c>
      <c r="K24" s="31">
        <v>6169.8256049702504</v>
      </c>
      <c r="L24" s="30">
        <v>10.465030224905</v>
      </c>
      <c r="M24" s="29">
        <v>1681.3511950872401</v>
      </c>
      <c r="N24" s="32">
        <v>19.807317495543401</v>
      </c>
      <c r="O24" s="29">
        <v>65447.699883351503</v>
      </c>
      <c r="P24" s="30">
        <v>2.3624642130485198</v>
      </c>
      <c r="Q24" s="29">
        <v>3386.2842859445177</v>
      </c>
      <c r="R24" s="33">
        <v>13.446466219539946</v>
      </c>
    </row>
    <row r="25" spans="1:18" s="76" customFormat="1" ht="12.75" x14ac:dyDescent="0.2">
      <c r="A25" s="7" t="str">
        <f>VLOOKUP("&lt;Zeilentitel_11&gt;",Uebersetzungen!$B$3:$E$63,Uebersetzungen!$B$2+1,FALSE)</f>
        <v>Jura</v>
      </c>
      <c r="B25" s="115">
        <v>60753.999999999403</v>
      </c>
      <c r="C25" s="29">
        <v>5060.1432377999299</v>
      </c>
      <c r="D25" s="30">
        <v>15.054773701012101</v>
      </c>
      <c r="E25" s="31">
        <v>41812.750272483703</v>
      </c>
      <c r="F25" s="30">
        <v>3.10943715309749</v>
      </c>
      <c r="G25" s="29">
        <v>2279.8248737089498</v>
      </c>
      <c r="H25" s="32">
        <v>23.502539233645098</v>
      </c>
      <c r="I25" s="38" t="s">
        <v>1</v>
      </c>
      <c r="J25" s="30" t="s">
        <v>1</v>
      </c>
      <c r="K25" s="39">
        <v>1349.89369552945</v>
      </c>
      <c r="L25" s="35">
        <v>33.817358318921102</v>
      </c>
      <c r="M25" s="34">
        <v>447.86867496751501</v>
      </c>
      <c r="N25" s="37">
        <v>56.254584514443501</v>
      </c>
      <c r="O25" s="29">
        <v>8807.0101925609997</v>
      </c>
      <c r="P25" s="30">
        <v>11.260795591480299</v>
      </c>
      <c r="Q25" s="34">
        <v>960.67951545719916</v>
      </c>
      <c r="R25" s="40">
        <v>36.351658024005417</v>
      </c>
    </row>
    <row r="26" spans="1:18" s="76" customFormat="1" ht="12.75" x14ac:dyDescent="0.2">
      <c r="A26" s="56" t="str">
        <f>VLOOKUP("&lt;Zeilentitel_12&gt;",Uebersetzungen!$B$3:$E$63,Uebersetzungen!$B$2+1,FALSE)</f>
        <v>Nordwestschweiz</v>
      </c>
      <c r="B26" s="116">
        <v>957038.99999999604</v>
      </c>
      <c r="C26" s="57">
        <v>240429.670278231</v>
      </c>
      <c r="D26" s="58">
        <v>1.9637817513746301</v>
      </c>
      <c r="E26" s="59">
        <v>273293.68284053198</v>
      </c>
      <c r="F26" s="58">
        <v>1.8295367522578401</v>
      </c>
      <c r="G26" s="57">
        <v>60416.534462674499</v>
      </c>
      <c r="H26" s="60">
        <v>4.5912963166521301</v>
      </c>
      <c r="I26" s="57">
        <v>2136.7920936370401</v>
      </c>
      <c r="J26" s="58">
        <v>25.346615801292501</v>
      </c>
      <c r="K26" s="59">
        <v>64011.215583011297</v>
      </c>
      <c r="L26" s="58">
        <v>4.7057609042355697</v>
      </c>
      <c r="M26" s="57">
        <v>14255.8667510826</v>
      </c>
      <c r="N26" s="60">
        <v>9.7077820147998004</v>
      </c>
      <c r="O26" s="57">
        <v>292902.78237572301</v>
      </c>
      <c r="P26" s="58">
        <v>1.75251365899404</v>
      </c>
      <c r="Q26" s="57">
        <v>9592.455615100358</v>
      </c>
      <c r="R26" s="61">
        <v>11.692337571261053</v>
      </c>
    </row>
    <row r="27" spans="1:18" s="76" customFormat="1" ht="12.75" x14ac:dyDescent="0.2">
      <c r="A27" s="7" t="str">
        <f>VLOOKUP("&lt;Zeilentitel_13&gt;",Uebersetzungen!$B$3:$E$63,Uebersetzungen!$B$2+1,FALSE)</f>
        <v>Basel-Stadt</v>
      </c>
      <c r="B27" s="115">
        <v>162648.99999999799</v>
      </c>
      <c r="C27" s="29">
        <v>28286.281121374999</v>
      </c>
      <c r="D27" s="30">
        <v>6.1371185848850702</v>
      </c>
      <c r="E27" s="31">
        <v>29185.4298065398</v>
      </c>
      <c r="F27" s="30">
        <v>6.1780718039604601</v>
      </c>
      <c r="G27" s="29">
        <v>8680.5744768823297</v>
      </c>
      <c r="H27" s="32">
        <v>12.4151367018685</v>
      </c>
      <c r="I27" s="34">
        <v>1161.09869170248</v>
      </c>
      <c r="J27" s="35">
        <v>34.494154837414897</v>
      </c>
      <c r="K27" s="31">
        <v>12252.592701641801</v>
      </c>
      <c r="L27" s="30">
        <v>10.7618339100179</v>
      </c>
      <c r="M27" s="29">
        <v>3465.6791224232402</v>
      </c>
      <c r="N27" s="32">
        <v>20.034537654869101</v>
      </c>
      <c r="O27" s="29">
        <v>77321.307175027701</v>
      </c>
      <c r="P27" s="30">
        <v>3.0748130286619699</v>
      </c>
      <c r="Q27" s="29">
        <v>2296.0369044051308</v>
      </c>
      <c r="R27" s="33">
        <v>23.959685372899308</v>
      </c>
    </row>
    <row r="28" spans="1:18" s="76" customFormat="1" ht="12.75" x14ac:dyDescent="0.2">
      <c r="A28" s="7" t="str">
        <f>VLOOKUP("&lt;Zeilentitel_14&gt;",Uebersetzungen!$B$3:$E$63,Uebersetzungen!$B$2+1,FALSE)</f>
        <v>Basel-Landschaft</v>
      </c>
      <c r="B28" s="115">
        <v>240860.000000003</v>
      </c>
      <c r="C28" s="29">
        <v>75695.169614692699</v>
      </c>
      <c r="D28" s="30">
        <v>3.3269785094849</v>
      </c>
      <c r="E28" s="31">
        <v>62648.913821197799</v>
      </c>
      <c r="F28" s="30">
        <v>3.8731579448910098</v>
      </c>
      <c r="G28" s="29">
        <v>13744.4853335152</v>
      </c>
      <c r="H28" s="32">
        <v>9.6081442018670806</v>
      </c>
      <c r="I28" s="34">
        <v>481.28723438999702</v>
      </c>
      <c r="J28" s="35">
        <v>53.930309796971798</v>
      </c>
      <c r="K28" s="31">
        <v>12802.907524635901</v>
      </c>
      <c r="L28" s="30">
        <v>10.7461518502495</v>
      </c>
      <c r="M28" s="29">
        <v>3692.9480826909098</v>
      </c>
      <c r="N28" s="32">
        <v>19.465492581042401</v>
      </c>
      <c r="O28" s="29">
        <v>69684.096558527104</v>
      </c>
      <c r="P28" s="30">
        <v>3.6655542151468299</v>
      </c>
      <c r="Q28" s="29">
        <v>2110.1918303521184</v>
      </c>
      <c r="R28" s="33">
        <v>24.647316600298407</v>
      </c>
    </row>
    <row r="29" spans="1:18" s="76" customFormat="1" ht="12.75" x14ac:dyDescent="0.2">
      <c r="A29" s="7" t="str">
        <f>VLOOKUP("&lt;Zeilentitel_15&gt;",Uebersetzungen!$B$3:$E$63,Uebersetzungen!$B$2+1,FALSE)</f>
        <v>Aargau</v>
      </c>
      <c r="B29" s="115">
        <v>553529.99999999499</v>
      </c>
      <c r="C29" s="29">
        <v>136448.21954216401</v>
      </c>
      <c r="D29" s="30">
        <v>2.63601935472819</v>
      </c>
      <c r="E29" s="31">
        <v>181459.33921279499</v>
      </c>
      <c r="F29" s="30">
        <v>2.1947590551342402</v>
      </c>
      <c r="G29" s="29">
        <v>37991.474652277</v>
      </c>
      <c r="H29" s="32">
        <v>5.7602589761522101</v>
      </c>
      <c r="I29" s="34">
        <v>494.40616754456801</v>
      </c>
      <c r="J29" s="35">
        <v>51.786784222010297</v>
      </c>
      <c r="K29" s="31">
        <v>38955.715356733701</v>
      </c>
      <c r="L29" s="30">
        <v>5.9882754611301596</v>
      </c>
      <c r="M29" s="29">
        <v>7097.2395459684803</v>
      </c>
      <c r="N29" s="32">
        <v>13.488273652379201</v>
      </c>
      <c r="O29" s="29">
        <v>145897.37864216801</v>
      </c>
      <c r="P29" s="30">
        <v>2.5803252424873002</v>
      </c>
      <c r="Q29" s="29">
        <v>5186.226880343108</v>
      </c>
      <c r="R29" s="33">
        <v>15.956248915911557</v>
      </c>
    </row>
    <row r="30" spans="1:18" s="76" customFormat="1" ht="12.75" x14ac:dyDescent="0.2">
      <c r="A30" s="7" t="str">
        <f>VLOOKUP("&lt;Zeilentitel_16&gt;",Uebersetzungen!$B$3:$E$63,Uebersetzungen!$B$2+1,FALSE)</f>
        <v>Zürich</v>
      </c>
      <c r="B30" s="117">
        <v>1234566.99999998</v>
      </c>
      <c r="C30" s="29">
        <v>360633.00327433803</v>
      </c>
      <c r="D30" s="30">
        <v>1.4610830444744201</v>
      </c>
      <c r="E30" s="31">
        <v>331173.72329318698</v>
      </c>
      <c r="F30" s="30">
        <v>1.5712057414218701</v>
      </c>
      <c r="G30" s="29">
        <v>82690.030973792498</v>
      </c>
      <c r="H30" s="32">
        <v>3.60931398517672</v>
      </c>
      <c r="I30" s="29">
        <v>6138.9838442350901</v>
      </c>
      <c r="J30" s="30">
        <v>11.9417481391972</v>
      </c>
      <c r="K30" s="31">
        <v>81224.381684267995</v>
      </c>
      <c r="L30" s="30">
        <v>3.8980879509200301</v>
      </c>
      <c r="M30" s="29">
        <v>22296.394739687501</v>
      </c>
      <c r="N30" s="32">
        <v>7.0935755964454801</v>
      </c>
      <c r="O30" s="29">
        <v>340852.10092930502</v>
      </c>
      <c r="P30" s="30">
        <v>1.53879311822396</v>
      </c>
      <c r="Q30" s="29">
        <v>9558.3812611595313</v>
      </c>
      <c r="R30" s="33">
        <v>10.744585866983106</v>
      </c>
    </row>
    <row r="31" spans="1:18" s="76" customFormat="1" ht="12.75" x14ac:dyDescent="0.2">
      <c r="A31" s="56" t="str">
        <f>VLOOKUP("&lt;Zeilentitel_17&gt;",Uebersetzungen!$B$3:$E$63,Uebersetzungen!$B$2+1,FALSE)</f>
        <v>Ostschweiz</v>
      </c>
      <c r="B31" s="114">
        <v>974078.99999999197</v>
      </c>
      <c r="C31" s="57">
        <v>272094.74623557198</v>
      </c>
      <c r="D31" s="58">
        <v>1.6689563763719599</v>
      </c>
      <c r="E31" s="59">
        <v>381049.68669519201</v>
      </c>
      <c r="F31" s="58">
        <v>1.3224189280020799</v>
      </c>
      <c r="G31" s="57">
        <v>58262.8219341273</v>
      </c>
      <c r="H31" s="60">
        <v>4.3293564096020596</v>
      </c>
      <c r="I31" s="64">
        <v>834.77922539310305</v>
      </c>
      <c r="J31" s="63">
        <v>36.980811629603203</v>
      </c>
      <c r="K31" s="59">
        <v>56252.539185359798</v>
      </c>
      <c r="L31" s="58">
        <v>4.6959244096183701</v>
      </c>
      <c r="M31" s="57">
        <v>11022.9128268353</v>
      </c>
      <c r="N31" s="60">
        <v>10.359745483145501</v>
      </c>
      <c r="O31" s="57">
        <v>185496.112852719</v>
      </c>
      <c r="P31" s="58">
        <v>2.2261417737269098</v>
      </c>
      <c r="Q31" s="57">
        <v>9065.4010447924848</v>
      </c>
      <c r="R31" s="61">
        <v>11.228066976483682</v>
      </c>
    </row>
    <row r="32" spans="1:18" s="76" customFormat="1" ht="12.75" x14ac:dyDescent="0.2">
      <c r="A32" s="7" t="str">
        <f>VLOOKUP("&lt;Zeilentitel_18&gt;",Uebersetzungen!$B$3:$E$63,Uebersetzungen!$B$2+1,FALSE)</f>
        <v>Glarus</v>
      </c>
      <c r="B32" s="115">
        <v>33734.999999999702</v>
      </c>
      <c r="C32" s="29">
        <v>10788.1068983515</v>
      </c>
      <c r="D32" s="30">
        <v>9.0775761108419104</v>
      </c>
      <c r="E32" s="31">
        <v>10660.7065357104</v>
      </c>
      <c r="F32" s="30">
        <v>9.2987543305081797</v>
      </c>
      <c r="G32" s="36">
        <v>1925.00204512236</v>
      </c>
      <c r="H32" s="37">
        <v>26.071243008110201</v>
      </c>
      <c r="I32" s="38" t="s">
        <v>1</v>
      </c>
      <c r="J32" s="30" t="s">
        <v>1</v>
      </c>
      <c r="K32" s="31">
        <v>2183.7686883511201</v>
      </c>
      <c r="L32" s="30">
        <v>25.204866936698</v>
      </c>
      <c r="M32" s="34">
        <v>725.78775564867203</v>
      </c>
      <c r="N32" s="37">
        <v>43.379416785385096</v>
      </c>
      <c r="O32" s="29">
        <v>7168.69617519844</v>
      </c>
      <c r="P32" s="30">
        <v>12.2531845619487</v>
      </c>
      <c r="Q32" s="38">
        <v>282.93190161720048</v>
      </c>
      <c r="R32" s="33">
        <v>68.434422048479689</v>
      </c>
    </row>
    <row r="33" spans="1:18" s="76" customFormat="1" ht="12.75" x14ac:dyDescent="0.2">
      <c r="A33" s="7" t="str">
        <f>VLOOKUP("&lt;Zeilentitel_19&gt;",Uebersetzungen!$B$3:$E$63,Uebersetzungen!$B$2+1,FALSE)</f>
        <v>Schaffhausen</v>
      </c>
      <c r="B33" s="115">
        <v>68109.999999999098</v>
      </c>
      <c r="C33" s="29">
        <v>24612.207381474698</v>
      </c>
      <c r="D33" s="30">
        <v>5.71896593066898</v>
      </c>
      <c r="E33" s="31">
        <v>15397.689718150399</v>
      </c>
      <c r="F33" s="30">
        <v>8.1912912856286706</v>
      </c>
      <c r="G33" s="29">
        <v>4731.3068326463499</v>
      </c>
      <c r="H33" s="32">
        <v>16.141858858596901</v>
      </c>
      <c r="I33" s="38" t="s">
        <v>1</v>
      </c>
      <c r="J33" s="30" t="s">
        <v>1</v>
      </c>
      <c r="K33" s="31">
        <v>4512.7285849173004</v>
      </c>
      <c r="L33" s="30">
        <v>17.438673490197399</v>
      </c>
      <c r="M33" s="36">
        <v>1010.19698607265</v>
      </c>
      <c r="N33" s="37">
        <v>37.428165806104701</v>
      </c>
      <c r="O33" s="29">
        <v>17082.587119284599</v>
      </c>
      <c r="P33" s="30">
        <v>7.7130661117981001</v>
      </c>
      <c r="Q33" s="34">
        <v>696.71818205522243</v>
      </c>
      <c r="R33" s="40">
        <v>44.348904631439034</v>
      </c>
    </row>
    <row r="34" spans="1:18" s="76" customFormat="1" ht="12.75" x14ac:dyDescent="0.2">
      <c r="A34" s="7" t="str">
        <f>VLOOKUP("&lt;Zeilentitel_20&gt;",Uebersetzungen!$B$3:$E$63,Uebersetzungen!$B$2+1,FALSE)</f>
        <v>Appenzell Ausserrhoden</v>
      </c>
      <c r="B34" s="115">
        <v>45910.999999999302</v>
      </c>
      <c r="C34" s="29">
        <v>17788.2628915858</v>
      </c>
      <c r="D34" s="30">
        <v>6.7410199723797097</v>
      </c>
      <c r="E34" s="31">
        <v>12752.261526567399</v>
      </c>
      <c r="F34" s="30">
        <v>8.7218242186223307</v>
      </c>
      <c r="G34" s="29">
        <v>3575.5255168598401</v>
      </c>
      <c r="H34" s="32">
        <v>18.542500267497299</v>
      </c>
      <c r="I34" s="38" t="s">
        <v>1</v>
      </c>
      <c r="J34" s="30" t="s">
        <v>1</v>
      </c>
      <c r="K34" s="39">
        <v>1552.3356084045099</v>
      </c>
      <c r="L34" s="35">
        <v>30.314885582020299</v>
      </c>
      <c r="M34" s="34">
        <v>247.853036994652</v>
      </c>
      <c r="N34" s="37">
        <v>79.977107645023906</v>
      </c>
      <c r="O34" s="29">
        <v>9634.0595574468407</v>
      </c>
      <c r="P34" s="30">
        <v>10.5811670806478</v>
      </c>
      <c r="Q34" s="34">
        <v>360.70186214022004</v>
      </c>
      <c r="R34" s="40">
        <v>61.466307374977745</v>
      </c>
    </row>
    <row r="35" spans="1:18" s="76" customFormat="1" ht="12.75" x14ac:dyDescent="0.2">
      <c r="A35" s="7" t="str">
        <f>VLOOKUP("&lt;Zeilentitel_21&gt;",Uebersetzungen!$B$3:$E$63,Uebersetzungen!$B$2+1,FALSE)</f>
        <v>Appenzell Innerrhoden</v>
      </c>
      <c r="B35" s="115">
        <v>13177.9999999996</v>
      </c>
      <c r="C35" s="29">
        <v>1571.5323614931699</v>
      </c>
      <c r="D35" s="30">
        <v>26.332132658304101</v>
      </c>
      <c r="E35" s="31">
        <v>9304.6502142845602</v>
      </c>
      <c r="F35" s="30">
        <v>6.3945918918745104</v>
      </c>
      <c r="G35" s="34">
        <v>623.55999741656694</v>
      </c>
      <c r="H35" s="37">
        <v>45.1528984104499</v>
      </c>
      <c r="I35" s="38" t="s">
        <v>1</v>
      </c>
      <c r="J35" s="30" t="s">
        <v>1</v>
      </c>
      <c r="K35" s="41">
        <v>253.92163917674199</v>
      </c>
      <c r="L35" s="35">
        <v>73.429908240595296</v>
      </c>
      <c r="M35" s="34" t="s">
        <v>1</v>
      </c>
      <c r="N35" s="37" t="s">
        <v>1</v>
      </c>
      <c r="O35" s="36">
        <v>1189.3325193016699</v>
      </c>
      <c r="P35" s="35">
        <v>32.104582687252602</v>
      </c>
      <c r="Q35" s="38">
        <v>190.10980869952607</v>
      </c>
      <c r="R35" s="33">
        <v>86.810006058029259</v>
      </c>
    </row>
    <row r="36" spans="1:18" s="76" customFormat="1" ht="12.75" x14ac:dyDescent="0.2">
      <c r="A36" s="7" t="str">
        <f>VLOOKUP("&lt;Zeilentitel_22&gt;",Uebersetzungen!$B$3:$E$63,Uebersetzungen!$B$2+1,FALSE)</f>
        <v>St. Gallen</v>
      </c>
      <c r="B36" s="115">
        <v>418305.00000000303</v>
      </c>
      <c r="C36" s="29">
        <v>88377.179037734197</v>
      </c>
      <c r="D36" s="30">
        <v>3.2948954765089602</v>
      </c>
      <c r="E36" s="31">
        <v>189491.130651496</v>
      </c>
      <c r="F36" s="30">
        <v>1.89136206543592</v>
      </c>
      <c r="G36" s="29">
        <v>26528.788926364501</v>
      </c>
      <c r="H36" s="32">
        <v>6.9045130090336899</v>
      </c>
      <c r="I36" s="34">
        <v>434.88389871867298</v>
      </c>
      <c r="J36" s="35">
        <v>53.641696362692798</v>
      </c>
      <c r="K36" s="31">
        <v>30393.2674878793</v>
      </c>
      <c r="L36" s="30">
        <v>6.8551571301324801</v>
      </c>
      <c r="M36" s="29">
        <v>4831.1225974268</v>
      </c>
      <c r="N36" s="32">
        <v>16.265953900904599</v>
      </c>
      <c r="O36" s="29">
        <v>74587.011503593603</v>
      </c>
      <c r="P36" s="30">
        <v>3.7742780746296298</v>
      </c>
      <c r="Q36" s="29">
        <v>3661.6158967863398</v>
      </c>
      <c r="R36" s="33">
        <v>18.522594458260823</v>
      </c>
    </row>
    <row r="37" spans="1:18" s="76" customFormat="1" ht="12.75" x14ac:dyDescent="0.2">
      <c r="A37" s="65" t="str">
        <f>VLOOKUP("&lt;Zeilentitel_23&gt;",Uebersetzungen!$B$3:$E$63,Uebersetzungen!$B$2+1,FALSE)</f>
        <v>Graubünden</v>
      </c>
      <c r="B37" s="118">
        <v>168481.99999999499</v>
      </c>
      <c r="C37" s="66">
        <v>55984.216143550002</v>
      </c>
      <c r="D37" s="67">
        <v>3.8305903078855801</v>
      </c>
      <c r="E37" s="68">
        <v>71626.7925275077</v>
      </c>
      <c r="F37" s="67">
        <v>3.20585577319466</v>
      </c>
      <c r="G37" s="66">
        <v>6141.38550404752</v>
      </c>
      <c r="H37" s="69">
        <v>14.194151799540601</v>
      </c>
      <c r="I37" s="70" t="s">
        <v>1</v>
      </c>
      <c r="J37" s="67" t="s">
        <v>1</v>
      </c>
      <c r="K37" s="68">
        <v>3215.1265997658702</v>
      </c>
      <c r="L37" s="67">
        <v>20.940130730425899</v>
      </c>
      <c r="M37" s="71">
        <v>1720.28336119093</v>
      </c>
      <c r="N37" s="72">
        <v>28.249602083008</v>
      </c>
      <c r="O37" s="66">
        <v>27659.074949431601</v>
      </c>
      <c r="P37" s="67">
        <v>6.2424920003628204</v>
      </c>
      <c r="Q37" s="73">
        <v>1994.1409629922027</v>
      </c>
      <c r="R37" s="74">
        <v>25.06992053055512</v>
      </c>
    </row>
    <row r="38" spans="1:18" s="76" customFormat="1" ht="12.75" x14ac:dyDescent="0.2">
      <c r="A38" s="7" t="str">
        <f>VLOOKUP("&lt;Zeilentitel_24&gt;",Uebersetzungen!$B$3:$E$63,Uebersetzungen!$B$2+1,FALSE)</f>
        <v>Thurgau</v>
      </c>
      <c r="B38" s="115">
        <v>226357.99999999601</v>
      </c>
      <c r="C38" s="29">
        <v>72973.241521382603</v>
      </c>
      <c r="D38" s="30">
        <v>2.3712638032937501</v>
      </c>
      <c r="E38" s="31">
        <v>71816.455521476004</v>
      </c>
      <c r="F38" s="30">
        <v>2.45563851436187</v>
      </c>
      <c r="G38" s="29">
        <v>14737.253111670099</v>
      </c>
      <c r="H38" s="32">
        <v>6.4143664371825002</v>
      </c>
      <c r="I38" s="34">
        <v>192.350179766965</v>
      </c>
      <c r="J38" s="35">
        <v>61.501244645040003</v>
      </c>
      <c r="K38" s="31">
        <v>14141.390576865</v>
      </c>
      <c r="L38" s="30">
        <v>7.0897267085529601</v>
      </c>
      <c r="M38" s="29">
        <v>2442.7756298742202</v>
      </c>
      <c r="N38" s="32">
        <v>16.449087812335101</v>
      </c>
      <c r="O38" s="29">
        <v>48175.351028462297</v>
      </c>
      <c r="P38" s="30">
        <v>3.2512536288813298</v>
      </c>
      <c r="Q38" s="29">
        <v>1879.1824305017744</v>
      </c>
      <c r="R38" s="33">
        <v>18.185324263406216</v>
      </c>
    </row>
    <row r="39" spans="1:18" s="76" customFormat="1" ht="12.75" x14ac:dyDescent="0.2">
      <c r="A39" s="56" t="str">
        <f>VLOOKUP("&lt;Zeilentitel_25&gt;",Uebersetzungen!$B$3:$E$63,Uebersetzungen!$B$2+1,FALSE)</f>
        <v>Zentralschweiz</v>
      </c>
      <c r="B39" s="116">
        <v>665355.99999999499</v>
      </c>
      <c r="C39" s="57">
        <v>69542.305520340597</v>
      </c>
      <c r="D39" s="58">
        <v>3.28190085175076</v>
      </c>
      <c r="E39" s="59">
        <v>408356.18736907101</v>
      </c>
      <c r="F39" s="58">
        <v>0.89052701113569399</v>
      </c>
      <c r="G39" s="57">
        <v>29368.638248980398</v>
      </c>
      <c r="H39" s="60">
        <v>5.4197960586924703</v>
      </c>
      <c r="I39" s="64">
        <v>519.89174615939999</v>
      </c>
      <c r="J39" s="63">
        <v>38.788052657192601</v>
      </c>
      <c r="K39" s="59">
        <v>26715.010747726399</v>
      </c>
      <c r="L39" s="58">
        <v>5.9151204034589702</v>
      </c>
      <c r="M39" s="57">
        <v>8215.6954537692109</v>
      </c>
      <c r="N39" s="60">
        <v>10.2525569928737</v>
      </c>
      <c r="O39" s="57">
        <v>117159.407874571</v>
      </c>
      <c r="P39" s="58">
        <v>2.5081538438802</v>
      </c>
      <c r="Q39" s="57">
        <v>5478.8630393769618</v>
      </c>
      <c r="R39" s="61">
        <v>12.647853994495048</v>
      </c>
    </row>
    <row r="40" spans="1:18" s="76" customFormat="1" ht="12.75" x14ac:dyDescent="0.2">
      <c r="A40" s="7" t="str">
        <f>VLOOKUP("&lt;Zeilentitel_26&gt;",Uebersetzungen!$B$3:$E$63,Uebersetzungen!$B$2+1,FALSE)</f>
        <v>Luzern</v>
      </c>
      <c r="B40" s="115">
        <v>334499.00000000099</v>
      </c>
      <c r="C40" s="29">
        <v>33427.475664790902</v>
      </c>
      <c r="D40" s="30">
        <v>4.2625522166289596</v>
      </c>
      <c r="E40" s="31">
        <v>206908.87338182499</v>
      </c>
      <c r="F40" s="30">
        <v>1.1151348582425</v>
      </c>
      <c r="G40" s="29">
        <v>15576.3288048699</v>
      </c>
      <c r="H40" s="32">
        <v>6.7785346017369896</v>
      </c>
      <c r="I40" s="34">
        <v>246.60039376869801</v>
      </c>
      <c r="J40" s="35">
        <v>53.4854631343077</v>
      </c>
      <c r="K40" s="31">
        <v>14844.4049780717</v>
      </c>
      <c r="L40" s="30">
        <v>7.1778615785055502</v>
      </c>
      <c r="M40" s="29">
        <v>4775.6205065775503</v>
      </c>
      <c r="N40" s="32">
        <v>12.4885116484161</v>
      </c>
      <c r="O40" s="29">
        <v>55887.248586481997</v>
      </c>
      <c r="P40" s="30">
        <v>3.2443220088093998</v>
      </c>
      <c r="Q40" s="29">
        <v>2832.4476836136905</v>
      </c>
      <c r="R40" s="33">
        <v>15.587447517198633</v>
      </c>
    </row>
    <row r="41" spans="1:18" s="76" customFormat="1" ht="12.75" x14ac:dyDescent="0.2">
      <c r="A41" s="7" t="str">
        <f>VLOOKUP("&lt;Zeilentitel_27&gt;",Uebersetzungen!$B$3:$E$63,Uebersetzungen!$B$2+1,FALSE)</f>
        <v>Uri</v>
      </c>
      <c r="B41" s="115">
        <v>30032.9999999996</v>
      </c>
      <c r="C41" s="34">
        <v>1331.34057530678</v>
      </c>
      <c r="D41" s="35">
        <v>30.898123557518499</v>
      </c>
      <c r="E41" s="31">
        <v>23702.892187134901</v>
      </c>
      <c r="F41" s="30">
        <v>3.3654200323377901</v>
      </c>
      <c r="G41" s="34">
        <v>926.35614631447197</v>
      </c>
      <c r="H41" s="37">
        <v>37.913196156582202</v>
      </c>
      <c r="I41" s="29" t="s">
        <v>1</v>
      </c>
      <c r="J41" s="30" t="s">
        <v>1</v>
      </c>
      <c r="K41" s="41">
        <v>807.19863617587202</v>
      </c>
      <c r="L41" s="35">
        <v>42.676220580116698</v>
      </c>
      <c r="M41" s="34" t="s">
        <v>1</v>
      </c>
      <c r="N41" s="37" t="s">
        <v>1</v>
      </c>
      <c r="O41" s="29">
        <v>2912.1074638851901</v>
      </c>
      <c r="P41" s="30">
        <v>20.228596129201101</v>
      </c>
      <c r="Q41" s="38">
        <v>233.56636928488314</v>
      </c>
      <c r="R41" s="33">
        <v>72.856177650628325</v>
      </c>
    </row>
    <row r="42" spans="1:18" s="76" customFormat="1" ht="12.75" x14ac:dyDescent="0.2">
      <c r="A42" s="7" t="str">
        <f>VLOOKUP("&lt;Zeilentitel_28&gt;",Uebersetzungen!$B$3:$E$63,Uebersetzungen!$B$2+1,FALSE)</f>
        <v>Schwyz</v>
      </c>
      <c r="B42" s="115">
        <v>130565.99999999801</v>
      </c>
      <c r="C42" s="29">
        <v>14455.916161823099</v>
      </c>
      <c r="D42" s="30">
        <v>8.7375584728456701</v>
      </c>
      <c r="E42" s="31">
        <v>78087.882043582096</v>
      </c>
      <c r="F42" s="30">
        <v>2.5356071180416402</v>
      </c>
      <c r="G42" s="29">
        <v>5652.7428370153502</v>
      </c>
      <c r="H42" s="32">
        <v>15.1924867709832</v>
      </c>
      <c r="I42" s="34" t="s">
        <v>1</v>
      </c>
      <c r="J42" s="35" t="s">
        <v>1</v>
      </c>
      <c r="K42" s="31">
        <v>5042.2066935939201</v>
      </c>
      <c r="L42" s="30">
        <v>16.996543917840199</v>
      </c>
      <c r="M42" s="36">
        <v>1226.62589196723</v>
      </c>
      <c r="N42" s="37">
        <v>33.0358708913095</v>
      </c>
      <c r="O42" s="29">
        <v>24893.387150737399</v>
      </c>
      <c r="P42" s="30">
        <v>6.6212232005128397</v>
      </c>
      <c r="Q42" s="34">
        <v>1139.7891431682679</v>
      </c>
      <c r="R42" s="40">
        <v>33.933462567097919</v>
      </c>
    </row>
    <row r="43" spans="1:18" s="76" customFormat="1" ht="12.75" x14ac:dyDescent="0.2">
      <c r="A43" s="7" t="str">
        <f>VLOOKUP("&lt;Zeilentitel_29&gt;",Uebersetzungen!$B$3:$E$63,Uebersetzungen!$B$2+1,FALSE)</f>
        <v>Obwalden</v>
      </c>
      <c r="B43" s="115">
        <v>31168.9999999998</v>
      </c>
      <c r="C43" s="29">
        <v>2444.4062960050601</v>
      </c>
      <c r="D43" s="30">
        <v>21.473951768424499</v>
      </c>
      <c r="E43" s="31">
        <v>22312.763274377001</v>
      </c>
      <c r="F43" s="30">
        <v>3.95793807089811</v>
      </c>
      <c r="G43" s="34">
        <v>793.62407147855595</v>
      </c>
      <c r="H43" s="37">
        <v>39.085322145731901</v>
      </c>
      <c r="I43" s="38" t="s">
        <v>1</v>
      </c>
      <c r="J43" s="30" t="s">
        <v>1</v>
      </c>
      <c r="K43" s="39">
        <v>811.23546596616495</v>
      </c>
      <c r="L43" s="35">
        <v>39.996451218279702</v>
      </c>
      <c r="M43" s="34">
        <v>245.33805308969499</v>
      </c>
      <c r="N43" s="37">
        <v>72.981420858664094</v>
      </c>
      <c r="O43" s="29">
        <v>4220.1649579956002</v>
      </c>
      <c r="P43" s="30">
        <v>15.898767196247301</v>
      </c>
      <c r="Q43" s="34">
        <v>310.72992835351238</v>
      </c>
      <c r="R43" s="40">
        <v>64.229677826512244</v>
      </c>
    </row>
    <row r="44" spans="1:18" s="76" customFormat="1" ht="12.75" x14ac:dyDescent="0.2">
      <c r="A44" s="7" t="str">
        <f>VLOOKUP("&lt;Zeilentitel_30&gt;",Uebersetzungen!$B$3:$E$63,Uebersetzungen!$B$2+1,FALSE)</f>
        <v>Nidwalden</v>
      </c>
      <c r="B44" s="115">
        <v>36094.999999999804</v>
      </c>
      <c r="C44" s="29">
        <v>3317.1707750003202</v>
      </c>
      <c r="D44" s="30">
        <v>18.471455627083898</v>
      </c>
      <c r="E44" s="31">
        <v>24552.773463538899</v>
      </c>
      <c r="F44" s="30">
        <v>4.0523906158099399</v>
      </c>
      <c r="G44" s="34">
        <v>923.89413881511803</v>
      </c>
      <c r="H44" s="37">
        <v>36.273100358248499</v>
      </c>
      <c r="I44" s="38" t="s">
        <v>1</v>
      </c>
      <c r="J44" s="30" t="s">
        <v>1</v>
      </c>
      <c r="K44" s="41">
        <v>607.30847028994901</v>
      </c>
      <c r="L44" s="35">
        <v>48.465151539320502</v>
      </c>
      <c r="M44" s="38">
        <v>240.47602677426499</v>
      </c>
      <c r="N44" s="32">
        <v>73.182743252245999</v>
      </c>
      <c r="O44" s="29">
        <v>6304.4066194142697</v>
      </c>
      <c r="P44" s="30">
        <v>13.0705195687033</v>
      </c>
      <c r="Q44" s="34">
        <v>148.97050616687929</v>
      </c>
      <c r="R44" s="40">
        <v>87.289194114427119</v>
      </c>
    </row>
    <row r="45" spans="1:18" s="76" customFormat="1" ht="12.75" x14ac:dyDescent="0.2">
      <c r="A45" s="7" t="str">
        <f>VLOOKUP("&lt;Zeilentitel_31&gt;",Uebersetzungen!$B$3:$E$63,Uebersetzungen!$B$2+1,FALSE)</f>
        <v>Zug</v>
      </c>
      <c r="B45" s="115">
        <v>102993.99999999801</v>
      </c>
      <c r="C45" s="29">
        <v>14565.996047414401</v>
      </c>
      <c r="D45" s="30">
        <v>5.9972604816180697</v>
      </c>
      <c r="E45" s="31">
        <v>52791.003018612399</v>
      </c>
      <c r="F45" s="30">
        <v>2.3765103821670199</v>
      </c>
      <c r="G45" s="29">
        <v>5495.6922504869999</v>
      </c>
      <c r="H45" s="32">
        <v>10.7551029693253</v>
      </c>
      <c r="I45" s="34">
        <v>175.10332154613999</v>
      </c>
      <c r="J45" s="35">
        <v>60.351462784213602</v>
      </c>
      <c r="K45" s="31">
        <v>4602.6565036287902</v>
      </c>
      <c r="L45" s="30">
        <v>12.228224279587099</v>
      </c>
      <c r="M45" s="29">
        <v>1608.09635346287</v>
      </c>
      <c r="N45" s="32">
        <v>20.470817175777501</v>
      </c>
      <c r="O45" s="29">
        <v>22942.093096056102</v>
      </c>
      <c r="P45" s="30">
        <v>4.6834940036137898</v>
      </c>
      <c r="Q45" s="34">
        <v>813.35940878972895</v>
      </c>
      <c r="R45" s="40">
        <v>27.484663409613766</v>
      </c>
    </row>
    <row r="46" spans="1:18" s="76" customFormat="1" ht="13.5" thickBot="1" x14ac:dyDescent="0.25">
      <c r="A46" s="129" t="str">
        <f>VLOOKUP("&lt;Zeilentitel_32&gt;",Uebersetzungen!$B$3:$E$63,Uebersetzungen!$B$2+1,FALSE)</f>
        <v>Tessin</v>
      </c>
      <c r="B46" s="130">
        <v>301265.000000006</v>
      </c>
      <c r="C46" s="131">
        <v>11345.767085379801</v>
      </c>
      <c r="D46" s="132">
        <v>7.1564207129613697</v>
      </c>
      <c r="E46" s="133">
        <v>200713.61583671201</v>
      </c>
      <c r="F46" s="132">
        <v>1.01397848433319</v>
      </c>
      <c r="G46" s="131">
        <v>16392.158180310598</v>
      </c>
      <c r="H46" s="134">
        <v>6.09222675618095</v>
      </c>
      <c r="I46" s="135">
        <v>380.876825301662</v>
      </c>
      <c r="J46" s="136">
        <v>40.626346726173999</v>
      </c>
      <c r="K46" s="133">
        <v>5476.8732742295197</v>
      </c>
      <c r="L46" s="132">
        <v>10.879633680659801</v>
      </c>
      <c r="M46" s="131">
        <v>1943.3167241039801</v>
      </c>
      <c r="N46" s="134">
        <v>18.122426571053499</v>
      </c>
      <c r="O46" s="131">
        <v>59078.2969703821</v>
      </c>
      <c r="P46" s="132">
        <v>2.9368244524567002</v>
      </c>
      <c r="Q46" s="131">
        <v>5934.0951035879152</v>
      </c>
      <c r="R46" s="137">
        <v>10.082688887721106</v>
      </c>
    </row>
    <row r="47" spans="1:18" s="76" customFormat="1" ht="12.75" x14ac:dyDescent="0.2">
      <c r="A47" s="8"/>
      <c r="B47" s="5"/>
      <c r="C47" s="9"/>
      <c r="D47" s="10"/>
      <c r="E47" s="10"/>
      <c r="F47" s="10"/>
      <c r="G47" s="11"/>
      <c r="H47" s="12"/>
      <c r="I47" s="11"/>
      <c r="J47" s="12"/>
      <c r="K47" s="11"/>
      <c r="L47" s="12"/>
      <c r="M47" s="11"/>
      <c r="N47" s="12"/>
      <c r="O47" s="11"/>
      <c r="P47" s="12"/>
      <c r="Q47" s="11"/>
      <c r="R47" s="12"/>
    </row>
    <row r="48" spans="1:18" s="76" customFormat="1" ht="12.75" x14ac:dyDescent="0.2">
      <c r="A48" s="16" t="str">
        <f>VLOOKUP("&lt;Legende_1&gt;",Uebersetzungen!$B$3:$E$63,Uebersetzungen!$B$2+1,FALSE)</f>
        <v xml:space="preserve">Ab 2010 stammen die Daten aus einer Stichprobenerhebung der ständigen Wohnbevölkerung ab vollendetem 15. Altersjahr, die in Privathaushalten lebt. </v>
      </c>
      <c r="B48" s="5"/>
      <c r="C48" s="9"/>
      <c r="D48" s="10"/>
      <c r="E48" s="10"/>
      <c r="F48" s="10"/>
      <c r="G48" s="11"/>
      <c r="H48" s="12"/>
      <c r="I48" s="11"/>
      <c r="J48" s="12"/>
      <c r="K48" s="11"/>
      <c r="L48" s="12"/>
      <c r="M48" s="11"/>
      <c r="N48" s="12"/>
      <c r="O48" s="11"/>
      <c r="P48" s="12"/>
      <c r="Q48" s="11"/>
      <c r="R48" s="12"/>
    </row>
    <row r="49" spans="1:18" s="76" customFormat="1" ht="12.75" x14ac:dyDescent="0.2">
      <c r="A49" s="16" t="str">
        <f>VLOOKUP("&lt;Legende_2&gt;",Uebersetzungen!$B$3:$E$63,Uebersetzungen!$B$2+1,FALSE)</f>
        <v>Nicht befragt wurden Diplomaten, internationale Funktionäre und deren Familienangehörige. Diese Daten sind mit jenen der frühreren Jahre nicht direkt vergleichbar.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s="76" customFormat="1" ht="12.75" x14ac:dyDescent="0.2">
      <c r="A50" s="16" t="str">
        <f>VLOOKUP("&lt;Legende_3&gt;",Uebersetzungen!$B$3:$E$63,Uebersetzungen!$B$2+1,FALSE)</f>
        <v>Das Vertrauensintervall zeigt die Genauigkeit der Resultate einer Stichprobenerhebung.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1:18" s="76" customFormat="1" ht="12.75" x14ac:dyDescent="0.2">
      <c r="A51" s="16" t="str">
        <f>VLOOKUP("&lt;Legende_4&gt;",Uebersetzungen!$B$3:$E$63,Uebersetzungen!$B$2+1,FALSE)</f>
        <v>(): Extrapolation aufgrund von 49 oder weniger Beobachtungen. Die Resultate sind mit grosser Vorsicht zu interpretieren.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s="76" customFormat="1" ht="12.75" x14ac:dyDescent="0.2">
      <c r="A52" s="13" t="str">
        <f>VLOOKUP("&lt;Legende_5&gt;",Uebersetzungen!$B$3:$E$63,Uebersetzungen!$B$2+1,FALSE)</f>
        <v>X: Extrapolation aufgrund von 4 oder weniger Beobachtungen. Die Resultate werden aus Gründen des Datenschutzes nicht publiziert.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s="76" customFormat="1" ht="12.75" x14ac:dyDescent="0.2">
      <c r="A53" s="13" t="str">
        <f>VLOOKUP("&lt;Legende_6&gt;",Uebersetzungen!$B$3:$E$63,Uebersetzungen!$B$2+1,FALSE)</f>
        <v>* inkl. andere aus dem Islam hervorgegangene Gemeinschaften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 s="76" customFormat="1" ht="12.75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18" s="76" customFormat="1" ht="12.75" x14ac:dyDescent="0.2">
      <c r="A55" s="16" t="str">
        <f>VLOOKUP("&lt;quelle_1&gt;",Uebersetzungen!$B$3:$E$63,Uebersetzungen!$B$2+1,FALSE)</f>
        <v>Quelle: BFS (Strukturerhebung)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8" s="76" customFormat="1" ht="12.75" x14ac:dyDescent="0.2">
      <c r="A56" s="13" t="str">
        <f>VLOOKUP("&lt;aktualisierung&gt;",Uebersetzungen!$B$3:$E$213,Uebersetzungen!$B$2+1,FALSE)</f>
        <v>Letztmals aktualisiert am: 29.01.2026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</sheetData>
  <sheetProtection sheet="1" objects="1" scenarios="1"/>
  <mergeCells count="11">
    <mergeCell ref="Q13:R13"/>
    <mergeCell ref="A7:D7"/>
    <mergeCell ref="B12:R12"/>
    <mergeCell ref="B13:B14"/>
    <mergeCell ref="C13:D13"/>
    <mergeCell ref="E13:F13"/>
    <mergeCell ref="G13:H13"/>
    <mergeCell ref="I13:J13"/>
    <mergeCell ref="K13:L13"/>
    <mergeCell ref="M13:N13"/>
    <mergeCell ref="O13:P13"/>
  </mergeCells>
  <pageMargins left="0.7" right="0.7" top="0.75" bottom="0.75" header="0.3" footer="0.3"/>
  <pageSetup paperSize="9" orientation="portrait" r:id="rId1"/>
  <ignoredErrors>
    <ignoredError sqref="D14 F14 H14 J14 L14 N14 P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Option Button 1">
              <controlPr defaultSize="0" autoFill="0" autoLine="0" autoPict="0">
                <anchor moveWithCells="1">
                  <from>
                    <xdr:col>6</xdr:col>
                    <xdr:colOff>295275</xdr:colOff>
                    <xdr:row>1</xdr:row>
                    <xdr:rowOff>114300</xdr:rowOff>
                  </from>
                  <to>
                    <xdr:col>7</xdr:col>
                    <xdr:colOff>695325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Option Button 2">
              <controlPr defaultSize="0" autoFill="0" autoLine="0" autoPict="0">
                <anchor moveWithCells="1">
                  <from>
                    <xdr:col>6</xdr:col>
                    <xdr:colOff>295275</xdr:colOff>
                    <xdr:row>2</xdr:row>
                    <xdr:rowOff>104775</xdr:rowOff>
                  </from>
                  <to>
                    <xdr:col>8</xdr:col>
                    <xdr:colOff>276225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Option Button 3">
              <controlPr defaultSize="0" autoFill="0" autoLine="0" autoPict="0">
                <anchor moveWithCells="1">
                  <from>
                    <xdr:col>6</xdr:col>
                    <xdr:colOff>295275</xdr:colOff>
                    <xdr:row>3</xdr:row>
                    <xdr:rowOff>66675</xdr:rowOff>
                  </from>
                  <to>
                    <xdr:col>7</xdr:col>
                    <xdr:colOff>695325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1030</Benutzerdefinierte_x0020_ID>
    <Titel_RM xmlns="9d1f6504-c754-4527-a358-047ce8521f96">Enquista da structura da la populaziun – appartegnientscha religiusa tenor chantun, 2010-2024</Titel_RM>
    <Titel_DE xmlns="9d1f6504-c754-4527-a358-047ce8521f96">Strukturerhebung Bevölkerung - Religionszugehoerigkeit nach Kanton, 2010-2024</Titel_DE>
    <PublishingExpirationDate xmlns="http://schemas.microsoft.com/sharepoint/v3" xsi:nil="true"/>
    <Kategorie xmlns="9d1f6504-c754-4527-a358-047ce8521f96">Sprache, Religion</Kategorie>
    <PublishingStartDate xmlns="http://schemas.microsoft.com/sharepoint/v3" xsi:nil="true"/>
    <Titel_IT xmlns="9d1f6504-c754-4527-a358-047ce8521f96">Rilevazione strutturale della popolazione - appartenenza religiosa secondo il Cantone, 2010-2024</Titel_IT>
  </documentManagement>
</p:properties>
</file>

<file path=customXml/itemProps1.xml><?xml version="1.0" encoding="utf-8"?>
<ds:datastoreItem xmlns:ds="http://schemas.openxmlformats.org/officeDocument/2006/customXml" ds:itemID="{3CD69A0B-C6E1-4D66-971D-D8FD9C8FE1FB}"/>
</file>

<file path=customXml/itemProps2.xml><?xml version="1.0" encoding="utf-8"?>
<ds:datastoreItem xmlns:ds="http://schemas.openxmlformats.org/officeDocument/2006/customXml" ds:itemID="{05D7D094-59E2-4C4A-B5C2-9846E2F398EC}"/>
</file>

<file path=customXml/itemProps3.xml><?xml version="1.0" encoding="utf-8"?>
<ds:datastoreItem xmlns:ds="http://schemas.openxmlformats.org/officeDocument/2006/customXml" ds:itemID="{154F75FF-A60A-4007-971D-F3824A9F23D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Uebersetzungen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Luzius.Stricker@awt.gr.ch</dc:creator>
  <cp:lastModifiedBy>Monstein Urs (AWT GR)</cp:lastModifiedBy>
  <dcterms:created xsi:type="dcterms:W3CDTF">2022-01-24T08:31:17Z</dcterms:created>
  <dcterms:modified xsi:type="dcterms:W3CDTF">2026-01-28T08:46:46Z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2026-01-20T09:22:25Z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c2710519-2594-48e5-893b-ed39e70e308b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0x01010095A83D2D9087C0499BBDDADFE9564913</vt:lpwstr>
  </property>
</Properties>
</file>